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10095" tabRatio="750"/>
  </bookViews>
  <sheets>
    <sheet name="DG - HG907- internat+sala- mii." sheetId="10" r:id="rId1"/>
    <sheet name="DG - HG907- internat - mii.lei" sheetId="3" r:id="rId2"/>
    <sheet name="DG - HG907- Sala Fest- mii." sheetId="9" r:id="rId3"/>
  </sheets>
  <definedNames>
    <definedName name="_xlnm.Print_Area" localSheetId="1">'DG - HG907- internat - mii.lei'!$A$1:$I$77</definedName>
    <definedName name="_xlnm.Print_Area" localSheetId="0">'DG - HG907- internat+sala- mii.'!$A$1:$I$77</definedName>
    <definedName name="_xlnm.Print_Area" localSheetId="2">'DG - HG907- Sala Fest- mii.'!$A$1:$I$77</definedName>
  </definedNames>
  <calcPr calcId="101716"/>
  <fileRecoveryPr autoRecover="0"/>
</workbook>
</file>

<file path=xl/calcChain.xml><?xml version="1.0" encoding="utf-8"?>
<calcChain xmlns="http://schemas.openxmlformats.org/spreadsheetml/2006/main">
  <c r="D22" i="10"/>
  <c r="D29"/>
  <c r="D30"/>
  <c r="D31"/>
  <c r="D32"/>
  <c r="D39"/>
  <c r="D40"/>
  <c r="D43"/>
  <c r="D48"/>
  <c r="D51"/>
  <c r="D52"/>
  <c r="D50"/>
  <c r="D53"/>
  <c r="D54"/>
  <c r="D55"/>
  <c r="D56"/>
  <c r="D57"/>
  <c r="D58"/>
  <c r="D61"/>
  <c r="D60"/>
  <c r="D65"/>
  <c r="D66"/>
  <c r="D67"/>
  <c r="D68"/>
  <c r="D63"/>
  <c r="D69"/>
  <c r="D70"/>
  <c r="D71"/>
  <c r="D73"/>
  <c r="D74"/>
  <c r="D75"/>
  <c r="D76"/>
  <c r="E76"/>
  <c r="E79"/>
  <c r="E80"/>
  <c r="F22"/>
  <c r="F29"/>
  <c r="F30"/>
  <c r="F31"/>
  <c r="F32"/>
  <c r="F39"/>
  <c r="F40"/>
  <c r="F43"/>
  <c r="F48"/>
  <c r="F51"/>
  <c r="F52"/>
  <c r="F50"/>
  <c r="F53"/>
  <c r="F54"/>
  <c r="F55"/>
  <c r="F56"/>
  <c r="F57"/>
  <c r="F58"/>
  <c r="F61"/>
  <c r="F60"/>
  <c r="F69"/>
  <c r="F70"/>
  <c r="F71"/>
  <c r="F75"/>
  <c r="F76"/>
  <c r="F79"/>
  <c r="F80"/>
  <c r="G76"/>
  <c r="G79"/>
  <c r="G80"/>
  <c r="H76"/>
  <c r="H79"/>
  <c r="H80"/>
  <c r="D79"/>
  <c r="D80"/>
  <c r="E74"/>
  <c r="F74"/>
  <c r="G74"/>
  <c r="H74"/>
  <c r="H73"/>
  <c r="G73"/>
  <c r="F73"/>
  <c r="E73"/>
  <c r="E66"/>
  <c r="F66"/>
  <c r="G66"/>
  <c r="H66"/>
  <c r="E67"/>
  <c r="F67"/>
  <c r="G67"/>
  <c r="H67"/>
  <c r="E68"/>
  <c r="F68"/>
  <c r="G68"/>
  <c r="H68"/>
  <c r="E69"/>
  <c r="G69"/>
  <c r="H69"/>
  <c r="E70"/>
  <c r="G70"/>
  <c r="H70"/>
  <c r="H65"/>
  <c r="G65"/>
  <c r="F65"/>
  <c r="E65"/>
  <c r="E52"/>
  <c r="G52"/>
  <c r="H52"/>
  <c r="E53"/>
  <c r="G53"/>
  <c r="H53"/>
  <c r="E54"/>
  <c r="G54"/>
  <c r="H54"/>
  <c r="E55"/>
  <c r="G55"/>
  <c r="H55"/>
  <c r="E56"/>
  <c r="G56"/>
  <c r="H56"/>
  <c r="E57"/>
  <c r="G57"/>
  <c r="H57"/>
  <c r="H51"/>
  <c r="G51"/>
  <c r="E51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22"/>
  <c r="F23"/>
  <c r="F24"/>
  <c r="F25"/>
  <c r="F26"/>
  <c r="F27"/>
  <c r="F28"/>
  <c r="F33"/>
  <c r="F34"/>
  <c r="F35"/>
  <c r="F36"/>
  <c r="F37"/>
  <c r="F38"/>
  <c r="F41"/>
  <c r="F42"/>
  <c r="F44"/>
  <c r="F45"/>
  <c r="F46"/>
  <c r="F47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22"/>
  <c r="D23"/>
  <c r="D24"/>
  <c r="D25"/>
  <c r="D26"/>
  <c r="D27"/>
  <c r="D28"/>
  <c r="D33"/>
  <c r="D34"/>
  <c r="D35"/>
  <c r="D36"/>
  <c r="D37"/>
  <c r="D38"/>
  <c r="D41"/>
  <c r="D42"/>
  <c r="D44"/>
  <c r="D45"/>
  <c r="D46"/>
  <c r="D47"/>
  <c r="G64"/>
  <c r="H64"/>
  <c r="E64"/>
  <c r="F62"/>
  <c r="G62"/>
  <c r="H62"/>
  <c r="E62"/>
  <c r="G19"/>
  <c r="H19"/>
  <c r="F19"/>
  <c r="E19"/>
  <c r="D17"/>
  <c r="F16"/>
  <c r="G16"/>
  <c r="H16"/>
  <c r="E16"/>
  <c r="H15"/>
  <c r="F15"/>
  <c r="G15"/>
  <c r="E15"/>
  <c r="F14"/>
  <c r="E14"/>
  <c r="F13"/>
  <c r="E13"/>
  <c r="E17"/>
  <c r="G75" i="9"/>
  <c r="H75"/>
  <c r="D75"/>
  <c r="E75"/>
  <c r="F74"/>
  <c r="G74"/>
  <c r="H74"/>
  <c r="E74"/>
  <c r="F73"/>
  <c r="F75"/>
  <c r="E73"/>
  <c r="G68"/>
  <c r="H68"/>
  <c r="E68"/>
  <c r="G64"/>
  <c r="H64"/>
  <c r="E64"/>
  <c r="F62"/>
  <c r="G62"/>
  <c r="H62"/>
  <c r="E62"/>
  <c r="H57"/>
  <c r="F57"/>
  <c r="G57"/>
  <c r="E57"/>
  <c r="F56"/>
  <c r="G56"/>
  <c r="H56"/>
  <c r="E56"/>
  <c r="F55"/>
  <c r="G55"/>
  <c r="H55"/>
  <c r="E55"/>
  <c r="D52"/>
  <c r="E52"/>
  <c r="D51"/>
  <c r="F51"/>
  <c r="D50"/>
  <c r="G42"/>
  <c r="H42"/>
  <c r="E42"/>
  <c r="F41"/>
  <c r="G41"/>
  <c r="H41"/>
  <c r="E41"/>
  <c r="G40"/>
  <c r="H40"/>
  <c r="F40"/>
  <c r="D40"/>
  <c r="E40"/>
  <c r="G39"/>
  <c r="H39"/>
  <c r="F39"/>
  <c r="E39"/>
  <c r="G34"/>
  <c r="H34"/>
  <c r="F34"/>
  <c r="E34"/>
  <c r="G33"/>
  <c r="H33"/>
  <c r="F33"/>
  <c r="E33"/>
  <c r="H31"/>
  <c r="F31"/>
  <c r="G31"/>
  <c r="E31"/>
  <c r="F30"/>
  <c r="G30"/>
  <c r="H30"/>
  <c r="E30"/>
  <c r="F29"/>
  <c r="G29"/>
  <c r="H29"/>
  <c r="E29"/>
  <c r="F28"/>
  <c r="G28"/>
  <c r="H28"/>
  <c r="E28"/>
  <c r="H27"/>
  <c r="F27"/>
  <c r="G27"/>
  <c r="E27"/>
  <c r="F26"/>
  <c r="G26"/>
  <c r="H26"/>
  <c r="E26"/>
  <c r="F25"/>
  <c r="G25"/>
  <c r="H25"/>
  <c r="E25"/>
  <c r="F24"/>
  <c r="G24"/>
  <c r="H24"/>
  <c r="E24"/>
  <c r="H23"/>
  <c r="F23"/>
  <c r="G23"/>
  <c r="E23"/>
  <c r="F22"/>
  <c r="G22"/>
  <c r="H22"/>
  <c r="E22"/>
  <c r="F19"/>
  <c r="G19"/>
  <c r="H19"/>
  <c r="E19"/>
  <c r="D17"/>
  <c r="F16"/>
  <c r="G16"/>
  <c r="H16"/>
  <c r="E16"/>
  <c r="F15"/>
  <c r="G15"/>
  <c r="H15"/>
  <c r="E15"/>
  <c r="F14"/>
  <c r="E14"/>
  <c r="F13"/>
  <c r="E13"/>
  <c r="E17"/>
  <c r="G14" i="10"/>
  <c r="H14"/>
  <c r="F17"/>
  <c r="G13"/>
  <c r="G51" i="9"/>
  <c r="H51"/>
  <c r="G14"/>
  <c r="H14"/>
  <c r="D70"/>
  <c r="E50"/>
  <c r="G13"/>
  <c r="F17"/>
  <c r="F52"/>
  <c r="F50"/>
  <c r="G52"/>
  <c r="H52"/>
  <c r="D54"/>
  <c r="D53"/>
  <c r="D58"/>
  <c r="E51"/>
  <c r="G73"/>
  <c r="H73"/>
  <c r="G75" i="10"/>
  <c r="H75"/>
  <c r="E75"/>
  <c r="G17"/>
  <c r="H13"/>
  <c r="H17"/>
  <c r="G50"/>
  <c r="H50"/>
  <c r="E50"/>
  <c r="G50" i="9"/>
  <c r="H50"/>
  <c r="G17"/>
  <c r="H13"/>
  <c r="H17"/>
  <c r="F53"/>
  <c r="E53"/>
  <c r="G53"/>
  <c r="H53"/>
  <c r="D61"/>
  <c r="D44"/>
  <c r="D36"/>
  <c r="D46"/>
  <c r="D69"/>
  <c r="E58"/>
  <c r="D47"/>
  <c r="D43"/>
  <c r="D35"/>
  <c r="D32"/>
  <c r="D45"/>
  <c r="D37"/>
  <c r="F54"/>
  <c r="G54"/>
  <c r="H54"/>
  <c r="E54"/>
  <c r="F70"/>
  <c r="G70"/>
  <c r="H70"/>
  <c r="E70"/>
  <c r="E58" i="10"/>
  <c r="G58"/>
  <c r="H58"/>
  <c r="F58" i="9"/>
  <c r="G58"/>
  <c r="H58"/>
  <c r="F45"/>
  <c r="G45"/>
  <c r="H45"/>
  <c r="E45"/>
  <c r="F46"/>
  <c r="G46"/>
  <c r="H46"/>
  <c r="E46"/>
  <c r="E47"/>
  <c r="G47"/>
  <c r="H47"/>
  <c r="F47"/>
  <c r="F44"/>
  <c r="G44"/>
  <c r="H44"/>
  <c r="E44"/>
  <c r="E43"/>
  <c r="F43"/>
  <c r="G43"/>
  <c r="H43"/>
  <c r="D48"/>
  <c r="F32"/>
  <c r="G32"/>
  <c r="H32"/>
  <c r="E32"/>
  <c r="D38"/>
  <c r="G36"/>
  <c r="H36"/>
  <c r="F36"/>
  <c r="E36"/>
  <c r="F37"/>
  <c r="G37"/>
  <c r="H37"/>
  <c r="E37"/>
  <c r="E35"/>
  <c r="F35"/>
  <c r="G35"/>
  <c r="H35"/>
  <c r="E69"/>
  <c r="F69"/>
  <c r="G69"/>
  <c r="H69"/>
  <c r="D67"/>
  <c r="D66"/>
  <c r="D65"/>
  <c r="F61"/>
  <c r="D60"/>
  <c r="E61"/>
  <c r="D77"/>
  <c r="E61" i="10"/>
  <c r="D77"/>
  <c r="E77" i="9"/>
  <c r="G65"/>
  <c r="H65"/>
  <c r="D63"/>
  <c r="E65"/>
  <c r="E60"/>
  <c r="G66"/>
  <c r="H66"/>
  <c r="E66"/>
  <c r="F60"/>
  <c r="F71"/>
  <c r="F77"/>
  <c r="E48"/>
  <c r="F38"/>
  <c r="G38"/>
  <c r="H38"/>
  <c r="E38"/>
  <c r="G61"/>
  <c r="H61"/>
  <c r="G67"/>
  <c r="H67"/>
  <c r="E67"/>
  <c r="F48"/>
  <c r="F77" i="10"/>
  <c r="G77"/>
  <c r="H77"/>
  <c r="E48"/>
  <c r="E60"/>
  <c r="E77"/>
  <c r="G61"/>
  <c r="H61"/>
  <c r="G77" i="9"/>
  <c r="G63"/>
  <c r="H63"/>
  <c r="E63"/>
  <c r="F76"/>
  <c r="D71"/>
  <c r="G60"/>
  <c r="H60"/>
  <c r="G48"/>
  <c r="H48"/>
  <c r="G60" i="10"/>
  <c r="H60"/>
  <c r="G63"/>
  <c r="H63"/>
  <c r="E63"/>
  <c r="G48"/>
  <c r="H48"/>
  <c r="H77" i="9"/>
  <c r="G71"/>
  <c r="H71"/>
  <c r="E71"/>
  <c r="D76"/>
  <c r="G71" i="10"/>
  <c r="H71"/>
  <c r="E71"/>
  <c r="E76" i="9"/>
  <c r="G76"/>
  <c r="H76"/>
  <c r="D74" i="3"/>
  <c r="D73"/>
  <c r="E42"/>
  <c r="D52"/>
  <c r="G64"/>
  <c r="H64"/>
  <c r="G68"/>
  <c r="H68"/>
  <c r="E64"/>
  <c r="E68"/>
  <c r="D75"/>
  <c r="E75"/>
  <c r="F74"/>
  <c r="G74"/>
  <c r="H74"/>
  <c r="E74"/>
  <c r="F73"/>
  <c r="G73"/>
  <c r="H73"/>
  <c r="E73"/>
  <c r="F62"/>
  <c r="G62"/>
  <c r="H62"/>
  <c r="E62"/>
  <c r="H57"/>
  <c r="F57"/>
  <c r="G57"/>
  <c r="E57"/>
  <c r="F56"/>
  <c r="G56"/>
  <c r="H56"/>
  <c r="E56"/>
  <c r="F55"/>
  <c r="G55"/>
  <c r="H55"/>
  <c r="E55"/>
  <c r="D51"/>
  <c r="G42"/>
  <c r="H42"/>
  <c r="F39"/>
  <c r="G39"/>
  <c r="H39"/>
  <c r="E39"/>
  <c r="F34"/>
  <c r="G34"/>
  <c r="H34"/>
  <c r="E34"/>
  <c r="F33"/>
  <c r="G33"/>
  <c r="H33"/>
  <c r="E33"/>
  <c r="F31"/>
  <c r="G31"/>
  <c r="H31"/>
  <c r="E31"/>
  <c r="F30"/>
  <c r="G30"/>
  <c r="H30"/>
  <c r="E30"/>
  <c r="F29"/>
  <c r="G29"/>
  <c r="H29"/>
  <c r="E29"/>
  <c r="F28"/>
  <c r="G28"/>
  <c r="H28"/>
  <c r="E28"/>
  <c r="F27"/>
  <c r="G27"/>
  <c r="H27"/>
  <c r="E27"/>
  <c r="F26"/>
  <c r="G26"/>
  <c r="H26"/>
  <c r="E26"/>
  <c r="F25"/>
  <c r="G25"/>
  <c r="H25"/>
  <c r="E25"/>
  <c r="F24"/>
  <c r="G24"/>
  <c r="H24"/>
  <c r="E24"/>
  <c r="F23"/>
  <c r="G23"/>
  <c r="H23"/>
  <c r="E23"/>
  <c r="G22"/>
  <c r="H22"/>
  <c r="F22"/>
  <c r="E22"/>
  <c r="F19"/>
  <c r="G19"/>
  <c r="H19"/>
  <c r="E19"/>
  <c r="D17"/>
  <c r="F16"/>
  <c r="G16"/>
  <c r="H16"/>
  <c r="E16"/>
  <c r="F15"/>
  <c r="G15"/>
  <c r="H15"/>
  <c r="E15"/>
  <c r="F14"/>
  <c r="G14"/>
  <c r="H14"/>
  <c r="E14"/>
  <c r="F13"/>
  <c r="G13"/>
  <c r="E13"/>
  <c r="E17"/>
  <c r="D50"/>
  <c r="E51"/>
  <c r="E52"/>
  <c r="F51"/>
  <c r="F52"/>
  <c r="G52"/>
  <c r="H52"/>
  <c r="F75"/>
  <c r="G75"/>
  <c r="H75"/>
  <c r="G17"/>
  <c r="H13"/>
  <c r="H17"/>
  <c r="F17"/>
  <c r="G51"/>
  <c r="H51"/>
  <c r="F50"/>
  <c r="G50"/>
  <c r="H50"/>
  <c r="D70"/>
  <c r="E50"/>
  <c r="E70"/>
  <c r="F70"/>
  <c r="G70"/>
  <c r="H70"/>
  <c r="F35"/>
  <c r="G35"/>
  <c r="H35"/>
  <c r="E35"/>
  <c r="D53"/>
  <c r="D54"/>
  <c r="E54"/>
  <c r="F54"/>
  <c r="G54"/>
  <c r="H54"/>
  <c r="E53"/>
  <c r="F53"/>
  <c r="D58"/>
  <c r="D61"/>
  <c r="G53"/>
  <c r="H53"/>
  <c r="F58"/>
  <c r="D32"/>
  <c r="D46"/>
  <c r="D43"/>
  <c r="D37"/>
  <c r="D44"/>
  <c r="E58"/>
  <c r="G58"/>
  <c r="H58"/>
  <c r="D36"/>
  <c r="D45"/>
  <c r="D47"/>
  <c r="D69"/>
  <c r="D40"/>
  <c r="F41"/>
  <c r="G41"/>
  <c r="H41"/>
  <c r="E41"/>
  <c r="F47"/>
  <c r="G47"/>
  <c r="H47"/>
  <c r="E47"/>
  <c r="F46"/>
  <c r="G46"/>
  <c r="H46"/>
  <c r="E46"/>
  <c r="E45"/>
  <c r="F45"/>
  <c r="G45"/>
  <c r="H45"/>
  <c r="F44"/>
  <c r="G44"/>
  <c r="H44"/>
  <c r="E44"/>
  <c r="D60"/>
  <c r="E61"/>
  <c r="F61"/>
  <c r="D77"/>
  <c r="E43"/>
  <c r="F43"/>
  <c r="G43"/>
  <c r="H43"/>
  <c r="F69"/>
  <c r="G69"/>
  <c r="H69"/>
  <c r="D67"/>
  <c r="D66"/>
  <c r="D65"/>
  <c r="E69"/>
  <c r="F36"/>
  <c r="G36"/>
  <c r="H36"/>
  <c r="E36"/>
  <c r="F37"/>
  <c r="G37"/>
  <c r="H37"/>
  <c r="E37"/>
  <c r="D48"/>
  <c r="D38"/>
  <c r="E32"/>
  <c r="F32"/>
  <c r="G32"/>
  <c r="H32"/>
  <c r="G61"/>
  <c r="H61"/>
  <c r="F60"/>
  <c r="F71"/>
  <c r="F77"/>
  <c r="F38"/>
  <c r="G38"/>
  <c r="H38"/>
  <c r="E38"/>
  <c r="E66"/>
  <c r="G66"/>
  <c r="H66"/>
  <c r="E60"/>
  <c r="D63"/>
  <c r="D71"/>
  <c r="D76"/>
  <c r="G65"/>
  <c r="H65"/>
  <c r="E65"/>
  <c r="E77"/>
  <c r="G77"/>
  <c r="H77"/>
  <c r="E48"/>
  <c r="G67"/>
  <c r="H67"/>
  <c r="E67"/>
  <c r="F40"/>
  <c r="G40"/>
  <c r="H40"/>
  <c r="E40"/>
  <c r="F48"/>
  <c r="G48"/>
  <c r="H48"/>
  <c r="G60"/>
  <c r="H60"/>
  <c r="F76"/>
  <c r="G63"/>
  <c r="H63"/>
  <c r="E63"/>
  <c r="E71"/>
  <c r="G71"/>
  <c r="H71"/>
  <c r="G76"/>
  <c r="H76"/>
  <c r="E76"/>
</calcChain>
</file>

<file path=xl/sharedStrings.xml><?xml version="1.0" encoding="utf-8"?>
<sst xmlns="http://schemas.openxmlformats.org/spreadsheetml/2006/main" count="336" uniqueCount="111">
  <si>
    <t>DEVIZ GENERAL</t>
  </si>
  <si>
    <t>al obiectivului de investiţie</t>
  </si>
  <si>
    <t>Cota TVA</t>
  </si>
  <si>
    <t>mii lei/mii euro la cursul BNR</t>
  </si>
  <si>
    <t xml:space="preserve">din data de </t>
  </si>
  <si>
    <t>Nr. crt.</t>
  </si>
  <si>
    <t>Denumirea capitolelor şi a subcapitolelor de lucrări</t>
  </si>
  <si>
    <t>Valoare (fără TVA)</t>
  </si>
  <si>
    <t>TVA</t>
  </si>
  <si>
    <t>Valoare (inclusiv TVA)</t>
  </si>
  <si>
    <t>Mii Lei</t>
  </si>
  <si>
    <t>Mii Euro</t>
  </si>
  <si>
    <t>CAPITOLUL 1 - Cheltuieli pentru obţinerea şi amenajarea terenului</t>
  </si>
  <si>
    <t>Obţinerea terenului</t>
  </si>
  <si>
    <t>Amenajarea terenului</t>
  </si>
  <si>
    <t>Amenajări pentru protecţia mediului si aducerea terenului la starea initiala</t>
  </si>
  <si>
    <t>Cheltuieli pentru relocarea/protectia utilitatilor</t>
  </si>
  <si>
    <t>TOTAL CAPITOL 1</t>
  </si>
  <si>
    <t>CAPITOLUL 2 - Cheltuieli pentru asigurarea utilităţilor necesare obiectivului</t>
  </si>
  <si>
    <t>Chelt. pt asig. utilităților necesare obiectivului</t>
  </si>
  <si>
    <t>TOTAL CAPITOL 2</t>
  </si>
  <si>
    <t>CAPITOLUL 3 - Cheltuieli pentru proiectare şi asistenţă tehnică</t>
  </si>
  <si>
    <t>Studii</t>
  </si>
  <si>
    <t>3.1.1</t>
  </si>
  <si>
    <t>Studii de teren</t>
  </si>
  <si>
    <t>3.1.1.1</t>
  </si>
  <si>
    <t>Studiu topografic</t>
  </si>
  <si>
    <t>3.1.1.2</t>
  </si>
  <si>
    <t>Studiu geotehnic</t>
  </si>
  <si>
    <t>3.1.1.3</t>
  </si>
  <si>
    <t>Studiu hidrologic</t>
  </si>
  <si>
    <t>3.1.2</t>
  </si>
  <si>
    <t>Raport privind impactul asupra mediului</t>
  </si>
  <si>
    <t>3.1.3</t>
  </si>
  <si>
    <t>Alte studii specifice - Urmarire si masurare piezo-inclinometrica cf. regulament</t>
  </si>
  <si>
    <t>Documentatii suport-suport si cheltuieli pentru obtinerea de avize, acorduri si autorizatii</t>
  </si>
  <si>
    <t>Expertizare tehnica</t>
  </si>
  <si>
    <t>Certificarea performanţei energetice şi auditul energetic al clădirilor</t>
  </si>
  <si>
    <t>Proiectare</t>
  </si>
  <si>
    <t>3.5.1</t>
  </si>
  <si>
    <t>Tema de proiectare</t>
  </si>
  <si>
    <t>3.5.2</t>
  </si>
  <si>
    <t>Studiu de prefezabilitate</t>
  </si>
  <si>
    <t>3.5.3</t>
  </si>
  <si>
    <t>Studiu de fezabilitate/ documentatie de avizare a lucrarilor de interventii si deviz general</t>
  </si>
  <si>
    <t>3.5.4</t>
  </si>
  <si>
    <t>Documentaţiile tehnice necesare în vederea obţinerii avizelor/acordurilor/autorizaţiilor</t>
  </si>
  <si>
    <t>3.5.5</t>
  </si>
  <si>
    <t>Verificarea tehnică de calitate a proiectului tehnic şi a detaliilor de execuţie</t>
  </si>
  <si>
    <t>3.5.6</t>
  </si>
  <si>
    <t>Proiect tehnic şi detalii de execuţie</t>
  </si>
  <si>
    <t>Organizarea procedurilor de achiziţie</t>
  </si>
  <si>
    <t>Consultanţă</t>
  </si>
  <si>
    <t>3.7.1</t>
  </si>
  <si>
    <t>Managementul de proiect pentru obiectivul de investiţii</t>
  </si>
  <si>
    <t>3.7.2</t>
  </si>
  <si>
    <t>Auditul financiar</t>
  </si>
  <si>
    <t>Asistenţă tehnică</t>
  </si>
  <si>
    <t>3.8.1</t>
  </si>
  <si>
    <t>Asistenţă tehnică din partea proiectantului</t>
  </si>
  <si>
    <t>3.8.1.1</t>
  </si>
  <si>
    <t>pe perioada de execuţie a lucrărilor</t>
  </si>
  <si>
    <t>3.8.1.2</t>
  </si>
  <si>
    <t>pentru participarea proiectantului la fazele incluse în programul de control al lucrărilor de execuţie, avizat de către Inspectoratul de Stat în Construcţii</t>
  </si>
  <si>
    <t>3.8.2</t>
  </si>
  <si>
    <t>Dirigentie de santier</t>
  </si>
  <si>
    <t>TOTAL CAPITOL 3</t>
  </si>
  <si>
    <t>CAPITOLUL 4 - Cheltuieli pentru investiţia de bază</t>
  </si>
  <si>
    <t>Construcţii şi instalaţii</t>
  </si>
  <si>
    <t>4.1.1</t>
  </si>
  <si>
    <t>4.1.2</t>
  </si>
  <si>
    <t>Montaj utilaje, echipamente tehnologice şi funcţionale</t>
  </si>
  <si>
    <t>Utilaje, echipamente tehnologice şi funcţionale care necesită montaj</t>
  </si>
  <si>
    <t>Utilaje, echipamente tehnologice şi funcţionale care nu necesită montaj şi echipamente de transport</t>
  </si>
  <si>
    <t>Dotări</t>
  </si>
  <si>
    <t>Active necorporale</t>
  </si>
  <si>
    <t>TOTAL CAPITOL 4</t>
  </si>
  <si>
    <t>CAPITOLUL 5 - Alte cheltuieli</t>
  </si>
  <si>
    <t>Organizare de şantier</t>
  </si>
  <si>
    <t>5.1.1</t>
  </si>
  <si>
    <t>Lucrări de construcţii şi instalaţii aferente organizării de şantier</t>
  </si>
  <si>
    <t>5.1.2</t>
  </si>
  <si>
    <t>Cheltuieli conexe organizării de şantier</t>
  </si>
  <si>
    <t>Comisioane, cote legale, taxe, costul creditului</t>
  </si>
  <si>
    <t>Cheltuieli diverse şi neprevăzute</t>
  </si>
  <si>
    <t>Cheltuieli pentru informare şi publicitate</t>
  </si>
  <si>
    <t>TOTAL CAPITOL 5</t>
  </si>
  <si>
    <t>CAPITOLUL 6 - Cheltuieli pentru probe tehnologice şi teste şi predare la beneficiar</t>
  </si>
  <si>
    <t>Pregătirea personalului de exploatare</t>
  </si>
  <si>
    <t>Probe tehnologice şi teste</t>
  </si>
  <si>
    <t>TOTAL CAPITOL 6</t>
  </si>
  <si>
    <t>TOTAL GENERAL</t>
  </si>
  <si>
    <t>Din care C + M</t>
  </si>
  <si>
    <t>Proiectant: Modern Power Systems SRL</t>
  </si>
  <si>
    <t xml:space="preserve">Obiect 1 - Măsurile de creștere a eficienței energetice </t>
  </si>
  <si>
    <t xml:space="preserve">Obiect 2 - Măsurile conexe care contribuie la implementarea proiectului </t>
  </si>
  <si>
    <t>5.2.1</t>
  </si>
  <si>
    <t>5.2.2</t>
  </si>
  <si>
    <t>5.2.3</t>
  </si>
  <si>
    <t>5.2.4</t>
  </si>
  <si>
    <t>5.2.5</t>
  </si>
  <si>
    <t>Comisioanele și dobânzile aferente creditului băncii finanțatoare</t>
  </si>
  <si>
    <t>Cota aferentă ISC pentru controlul calității lucrărilor de construcții</t>
  </si>
  <si>
    <t>Cota aferentă ISC pentru controlul statului în amenajarea teritoriului, urbanism și pentru autorizarea lucrărilor de construcții</t>
  </si>
  <si>
    <t xml:space="preserve">Cota aferentă Casei Sociale a Constructorilor - CSC </t>
  </si>
  <si>
    <t>Taxe pentru acorduri, avize conforme și autorizația de construire/desființare</t>
  </si>
  <si>
    <t>decembrie 2016</t>
  </si>
  <si>
    <t xml:space="preserve">Beneficiar: Colegiul National ,, MIHAI VITEAZUL ” </t>
  </si>
  <si>
    <t>Cresterea calitatii arhitectural-ambientale si reabilitare termica – Colegiul National “Mihai Viteazul” -
Volumul 1 -  Internat</t>
  </si>
  <si>
    <t>Cresterea calitatii arhtectural-ambientale si reabilitare termica – Colegiul National “Mihai Viteazul” 
Sala Festivitati</t>
  </si>
  <si>
    <t>Cresterea calitatii arhitectural-ambientale si reabilitare termica – Colegiul National “Mihai Viteazul” -
 -  Internat+Sala festivitati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</si>
</sst>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.000%"/>
    <numFmt numFmtId="166" formatCode="_(* #,##0.0000_);_(* \(#,##0.0000\);_(* &quot;-&quot;??_);_(@_)"/>
  </numFmts>
  <fonts count="9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indexed="10"/>
      <name val="Tahoma"/>
      <family val="2"/>
    </font>
    <font>
      <b/>
      <i/>
      <sz val="10"/>
      <color indexed="8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8" fillId="0" borderId="0">
      <alignment vertical="top"/>
    </xf>
    <xf numFmtId="9" fontId="4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164" fontId="1" fillId="0" borderId="0" xfId="1" applyFont="1"/>
    <xf numFmtId="164" fontId="2" fillId="0" borderId="1" xfId="1" applyFont="1" applyBorder="1" applyAlignment="1">
      <alignment horizontal="right" vertical="center"/>
    </xf>
    <xf numFmtId="164" fontId="3" fillId="2" borderId="1" xfId="1" applyFont="1" applyFill="1" applyBorder="1" applyAlignment="1">
      <alignment horizontal="right" vertical="center"/>
    </xf>
    <xf numFmtId="164" fontId="0" fillId="0" borderId="0" xfId="1" applyFont="1"/>
    <xf numFmtId="10" fontId="0" fillId="0" borderId="0" xfId="3" applyNumberFormat="1" applyFont="1"/>
    <xf numFmtId="0" fontId="0" fillId="0" borderId="0" xfId="0" applyFont="1"/>
    <xf numFmtId="164" fontId="7" fillId="0" borderId="0" xfId="1" applyFont="1" applyAlignment="1">
      <alignment horizontal="center" vertical="center"/>
    </xf>
    <xf numFmtId="164" fontId="7" fillId="3" borderId="0" xfId="1" applyFont="1" applyFill="1" applyAlignment="1">
      <alignment horizontal="center" vertical="center"/>
    </xf>
    <xf numFmtId="164" fontId="7" fillId="0" borderId="0" xfId="1" applyFont="1" applyAlignment="1">
      <alignment horizontal="right" vertical="center"/>
    </xf>
    <xf numFmtId="164" fontId="7" fillId="0" borderId="0" xfId="1" applyFont="1" applyAlignment="1">
      <alignment vertical="center"/>
    </xf>
    <xf numFmtId="164" fontId="7" fillId="0" borderId="2" xfId="1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164" fontId="7" fillId="0" borderId="1" xfId="1" applyFont="1" applyBorder="1" applyAlignment="1">
      <alignment horizontal="right" vertical="center"/>
    </xf>
    <xf numFmtId="164" fontId="6" fillId="4" borderId="1" xfId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164" fontId="6" fillId="0" borderId="1" xfId="1" applyFont="1" applyBorder="1" applyAlignment="1">
      <alignment horizontal="right" vertical="center"/>
    </xf>
    <xf numFmtId="164" fontId="6" fillId="2" borderId="1" xfId="1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vertical="center" wrapText="1"/>
    </xf>
    <xf numFmtId="164" fontId="5" fillId="0" borderId="4" xfId="1" applyFont="1" applyBorder="1"/>
    <xf numFmtId="164" fontId="0" fillId="0" borderId="4" xfId="1" applyFont="1" applyBorder="1"/>
    <xf numFmtId="165" fontId="0" fillId="0" borderId="4" xfId="3" applyNumberFormat="1" applyFont="1" applyBorder="1"/>
    <xf numFmtId="10" fontId="0" fillId="0" borderId="4" xfId="3" applyNumberFormat="1" applyFont="1" applyBorder="1"/>
    <xf numFmtId="166" fontId="7" fillId="3" borderId="0" xfId="1" applyNumberFormat="1" applyFont="1" applyFill="1" applyAlignment="1">
      <alignment horizontal="center" vertical="center"/>
    </xf>
    <xf numFmtId="164" fontId="7" fillId="0" borderId="1" xfId="1" applyFont="1" applyFill="1" applyBorder="1" applyAlignment="1">
      <alignment horizontal="right" vertical="center"/>
    </xf>
    <xf numFmtId="164" fontId="1" fillId="0" borderId="0" xfId="1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64" fontId="7" fillId="0" borderId="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1" applyFont="1" applyFill="1" applyBorder="1" applyAlignment="1">
      <alignment horizontal="right" vertical="center"/>
    </xf>
    <xf numFmtId="164" fontId="6" fillId="0" borderId="0" xfId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64" fontId="3" fillId="0" borderId="0" xfId="1" applyFont="1" applyFill="1" applyBorder="1" applyAlignment="1">
      <alignment horizontal="right" vertical="center"/>
    </xf>
    <xf numFmtId="164" fontId="0" fillId="0" borderId="0" xfId="1" applyFont="1" applyFill="1"/>
    <xf numFmtId="164" fontId="0" fillId="0" borderId="0" xfId="0" applyNumberFormat="1"/>
    <xf numFmtId="0" fontId="7" fillId="0" borderId="0" xfId="0" applyFont="1" applyFill="1" applyAlignment="1">
      <alignment horizontal="center" vertical="center"/>
    </xf>
    <xf numFmtId="164" fontId="7" fillId="0" borderId="0" xfId="1" applyFont="1" applyFill="1" applyAlignment="1">
      <alignment horizontal="center" vertical="center"/>
    </xf>
    <xf numFmtId="164" fontId="0" fillId="0" borderId="4" xfId="0" applyNumberForma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164" fontId="7" fillId="0" borderId="0" xfId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4" fontId="7" fillId="0" borderId="0" xfId="1" applyFont="1" applyBorder="1" applyAlignment="1">
      <alignment horizontal="right" vertical="center"/>
    </xf>
    <xf numFmtId="164" fontId="6" fillId="4" borderId="0" xfId="1" applyFont="1" applyFill="1" applyBorder="1" applyAlignment="1">
      <alignment horizontal="right" vertical="center"/>
    </xf>
    <xf numFmtId="164" fontId="6" fillId="0" borderId="0" xfId="1" applyFont="1" applyBorder="1" applyAlignment="1">
      <alignment horizontal="right" vertical="center"/>
    </xf>
    <xf numFmtId="164" fontId="6" fillId="2" borderId="0" xfId="1" applyFont="1" applyFill="1" applyBorder="1" applyAlignment="1">
      <alignment horizontal="right" vertical="center"/>
    </xf>
    <xf numFmtId="164" fontId="3" fillId="2" borderId="0" xfId="1" applyFont="1" applyFill="1" applyBorder="1" applyAlignment="1">
      <alignment horizontal="right" vertical="center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164" fontId="7" fillId="0" borderId="5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2:R80"/>
  <sheetViews>
    <sheetView tabSelected="1" view="pageBreakPreview" topLeftCell="A55" zoomScale="85" zoomScaleNormal="85" zoomScaleSheetLayoutView="85" workbookViewId="0">
      <selection activeCell="H79" sqref="H79"/>
    </sheetView>
  </sheetViews>
  <sheetFormatPr defaultRowHeight="15"/>
  <cols>
    <col min="2" max="2" width="9.140625" style="7"/>
    <col min="3" max="3" width="42.140625" style="7" customWidth="1"/>
    <col min="4" max="4" width="11.5703125" style="5" bestFit="1" customWidth="1"/>
    <col min="5" max="5" width="11.140625" style="5" customWidth="1"/>
    <col min="6" max="6" width="11.85546875" style="5" customWidth="1"/>
    <col min="7" max="7" width="11.5703125" style="5" bestFit="1" customWidth="1"/>
    <col min="8" max="8" width="10.85546875" style="5" bestFit="1" customWidth="1"/>
    <col min="9" max="9" width="10.85546875" style="43" customWidth="1"/>
    <col min="10" max="10" width="13.28515625" bestFit="1" customWidth="1"/>
  </cols>
  <sheetData>
    <row r="2" spans="2:9" s="7" customFormat="1">
      <c r="B2" s="70" t="s">
        <v>93</v>
      </c>
      <c r="C2" s="70"/>
      <c r="D2" s="70"/>
      <c r="E2" s="2"/>
      <c r="F2" s="2"/>
      <c r="G2" s="2"/>
      <c r="H2" s="2"/>
      <c r="I2" s="34"/>
    </row>
    <row r="3" spans="2:9" s="7" customFormat="1">
      <c r="B3" s="70" t="s">
        <v>107</v>
      </c>
      <c r="C3" s="70"/>
      <c r="D3" s="70"/>
      <c r="E3" s="2"/>
      <c r="F3" s="2"/>
      <c r="G3" s="2"/>
      <c r="H3" s="2"/>
      <c r="I3" s="34"/>
    </row>
    <row r="4" spans="2:9" s="7" customFormat="1">
      <c r="B4" s="71" t="s">
        <v>0</v>
      </c>
      <c r="C4" s="71"/>
      <c r="D4" s="71"/>
      <c r="E4" s="71"/>
      <c r="F4" s="71"/>
      <c r="G4" s="71"/>
      <c r="H4" s="71"/>
      <c r="I4" s="35"/>
    </row>
    <row r="5" spans="2:9" s="7" customFormat="1">
      <c r="B5" s="72" t="s">
        <v>1</v>
      </c>
      <c r="C5" s="72"/>
      <c r="D5" s="72"/>
      <c r="E5" s="72"/>
      <c r="F5" s="72"/>
      <c r="G5" s="72"/>
      <c r="H5" s="72"/>
      <c r="I5" s="45"/>
    </row>
    <row r="6" spans="2:9" s="7" customFormat="1" ht="48" customHeight="1">
      <c r="B6" s="73" t="s">
        <v>110</v>
      </c>
      <c r="C6" s="73"/>
      <c r="D6" s="73"/>
      <c r="E6" s="73"/>
      <c r="F6" s="73"/>
      <c r="G6" s="73"/>
      <c r="H6" s="73"/>
      <c r="I6" s="36"/>
    </row>
    <row r="7" spans="2:9" s="7" customFormat="1">
      <c r="B7" s="1"/>
      <c r="C7" s="1"/>
      <c r="D7" s="2"/>
      <c r="E7" s="2"/>
      <c r="F7" s="2"/>
      <c r="G7" s="8" t="s">
        <v>2</v>
      </c>
      <c r="H7" s="9">
        <v>0.19</v>
      </c>
      <c r="I7" s="46"/>
    </row>
    <row r="8" spans="2:9" s="7" customFormat="1" ht="15.75" thickBot="1">
      <c r="B8" s="1"/>
      <c r="C8" s="1"/>
      <c r="D8" s="10" t="s">
        <v>3</v>
      </c>
      <c r="E8" s="32">
        <v>4.5171999999999999</v>
      </c>
      <c r="F8" s="11" t="s">
        <v>4</v>
      </c>
      <c r="G8" s="74" t="s">
        <v>106</v>
      </c>
      <c r="H8" s="74"/>
      <c r="I8" s="34"/>
    </row>
    <row r="9" spans="2:9" s="7" customFormat="1" ht="15.75" thickBot="1">
      <c r="B9" s="75" t="s">
        <v>5</v>
      </c>
      <c r="C9" s="75" t="s">
        <v>6</v>
      </c>
      <c r="D9" s="66" t="s">
        <v>7</v>
      </c>
      <c r="E9" s="67"/>
      <c r="F9" s="12" t="s">
        <v>8</v>
      </c>
      <c r="G9" s="66" t="s">
        <v>9</v>
      </c>
      <c r="H9" s="67"/>
      <c r="I9" s="37"/>
    </row>
    <row r="10" spans="2:9" s="7" customFormat="1" ht="15.75" thickBot="1">
      <c r="B10" s="76"/>
      <c r="C10" s="77"/>
      <c r="D10" s="13" t="s">
        <v>10</v>
      </c>
      <c r="E10" s="13" t="s">
        <v>11</v>
      </c>
      <c r="F10" s="13" t="s">
        <v>10</v>
      </c>
      <c r="G10" s="13" t="s">
        <v>10</v>
      </c>
      <c r="H10" s="13" t="s">
        <v>11</v>
      </c>
      <c r="I10" s="37"/>
    </row>
    <row r="11" spans="2:9" s="7" customFormat="1" ht="15.75" thickBot="1">
      <c r="B11" s="14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38"/>
    </row>
    <row r="12" spans="2:9" s="7" customFormat="1" ht="15.75" thickBot="1">
      <c r="B12" s="61" t="s">
        <v>12</v>
      </c>
      <c r="C12" s="62"/>
      <c r="D12" s="62"/>
      <c r="E12" s="62"/>
      <c r="F12" s="62"/>
      <c r="G12" s="62"/>
      <c r="H12" s="63"/>
      <c r="I12" s="41"/>
    </row>
    <row r="13" spans="2:9" s="7" customFormat="1" ht="15.75" thickBot="1">
      <c r="B13" s="16">
        <v>1.1000000000000001</v>
      </c>
      <c r="C13" s="17" t="s">
        <v>13</v>
      </c>
      <c r="D13" s="18">
        <v>0</v>
      </c>
      <c r="E13" s="18">
        <f>D13/$E$8</f>
        <v>0</v>
      </c>
      <c r="F13" s="18">
        <f>D13*$H$7</f>
        <v>0</v>
      </c>
      <c r="G13" s="18">
        <f>D13+F13</f>
        <v>0</v>
      </c>
      <c r="H13" s="18">
        <f>G13/$E$8</f>
        <v>0</v>
      </c>
      <c r="I13" s="39"/>
    </row>
    <row r="14" spans="2:9" s="7" customFormat="1" ht="15.75" thickBot="1">
      <c r="B14" s="16">
        <v>1.2</v>
      </c>
      <c r="C14" s="17" t="s">
        <v>14</v>
      </c>
      <c r="D14" s="3">
        <v>0</v>
      </c>
      <c r="E14" s="18">
        <f>D14/$E$8</f>
        <v>0</v>
      </c>
      <c r="F14" s="18">
        <f>D14*$H$7</f>
        <v>0</v>
      </c>
      <c r="G14" s="18">
        <f>D14+F14</f>
        <v>0</v>
      </c>
      <c r="H14" s="18">
        <f>G14/$E$8</f>
        <v>0</v>
      </c>
      <c r="I14" s="39"/>
    </row>
    <row r="15" spans="2:9" s="7" customFormat="1" ht="26.25" thickBot="1">
      <c r="B15" s="16">
        <v>1.3</v>
      </c>
      <c r="C15" s="17" t="s">
        <v>15</v>
      </c>
      <c r="D15" s="18">
        <v>0</v>
      </c>
      <c r="E15" s="18">
        <f>D15/$E$8</f>
        <v>0</v>
      </c>
      <c r="F15" s="18">
        <f>D15*$H$7</f>
        <v>0</v>
      </c>
      <c r="G15" s="18">
        <f>D15+F15</f>
        <v>0</v>
      </c>
      <c r="H15" s="18">
        <f>G15/$E$8</f>
        <v>0</v>
      </c>
      <c r="I15" s="39"/>
    </row>
    <row r="16" spans="2:9" s="7" customFormat="1" ht="15.75" thickBot="1">
      <c r="B16" s="16">
        <v>1.4</v>
      </c>
      <c r="C16" s="17" t="s">
        <v>16</v>
      </c>
      <c r="D16" s="18">
        <v>0</v>
      </c>
      <c r="E16" s="18">
        <f>D16/$E$8</f>
        <v>0</v>
      </c>
      <c r="F16" s="18">
        <f>D16*$H$7</f>
        <v>0</v>
      </c>
      <c r="G16" s="18">
        <f>D16+F16</f>
        <v>0</v>
      </c>
      <c r="H16" s="18">
        <f>G16/$E$8</f>
        <v>0</v>
      </c>
      <c r="I16" s="39"/>
    </row>
    <row r="17" spans="2:11" s="7" customFormat="1" ht="15.75" thickBot="1">
      <c r="B17" s="59" t="s">
        <v>17</v>
      </c>
      <c r="C17" s="60"/>
      <c r="D17" s="19">
        <f>SUM(D13:D16)</f>
        <v>0</v>
      </c>
      <c r="E17" s="19">
        <f>SUM(E13:E16)</f>
        <v>0</v>
      </c>
      <c r="F17" s="19">
        <f>SUM(F13:F16)</f>
        <v>0</v>
      </c>
      <c r="G17" s="19">
        <f>SUM(G13:G16)</f>
        <v>0</v>
      </c>
      <c r="H17" s="19">
        <f>SUM(H13:H16)</f>
        <v>0</v>
      </c>
      <c r="I17" s="40"/>
    </row>
    <row r="18" spans="2:11" s="7" customFormat="1" ht="15.75" thickBot="1">
      <c r="B18" s="61" t="s">
        <v>18</v>
      </c>
      <c r="C18" s="62"/>
      <c r="D18" s="62"/>
      <c r="E18" s="62"/>
      <c r="F18" s="62"/>
      <c r="G18" s="62"/>
      <c r="H18" s="63"/>
      <c r="I18" s="41"/>
    </row>
    <row r="19" spans="2:11" s="7" customFormat="1" ht="15.75" thickBot="1">
      <c r="B19" s="16">
        <v>2.1</v>
      </c>
      <c r="C19" s="20" t="s">
        <v>19</v>
      </c>
      <c r="D19" s="18">
        <v>0</v>
      </c>
      <c r="E19" s="18">
        <f>D19/$E$8</f>
        <v>0</v>
      </c>
      <c r="F19" s="18">
        <f>D19*$H$7</f>
        <v>0</v>
      </c>
      <c r="G19" s="18">
        <f>D19+F19</f>
        <v>0</v>
      </c>
      <c r="H19" s="18">
        <f>G19/$E$8</f>
        <v>0</v>
      </c>
      <c r="I19" s="39"/>
    </row>
    <row r="20" spans="2:11" s="7" customFormat="1" ht="15.75" thickBot="1">
      <c r="B20" s="59" t="s">
        <v>20</v>
      </c>
      <c r="C20" s="60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40"/>
    </row>
    <row r="21" spans="2:11" ht="15.75" thickBot="1">
      <c r="B21" s="61" t="s">
        <v>21</v>
      </c>
      <c r="C21" s="62"/>
      <c r="D21" s="62"/>
      <c r="E21" s="62"/>
      <c r="F21" s="62"/>
      <c r="G21" s="62"/>
      <c r="H21" s="63"/>
      <c r="I21" s="41"/>
    </row>
    <row r="22" spans="2:11" ht="15.75" thickBot="1">
      <c r="B22" s="16">
        <v>3.1</v>
      </c>
      <c r="C22" s="20" t="s">
        <v>22</v>
      </c>
      <c r="D22" s="18">
        <f ca="1">'DG - HG907- internat - mii.lei'!D22+'DG - HG907- Sala Fest- mii.'!D22</f>
        <v>0</v>
      </c>
      <c r="E22" s="18">
        <f ca="1">'DG - HG907- internat - mii.lei'!E22+'DG - HG907- Sala Fest- mii.'!E22</f>
        <v>0</v>
      </c>
      <c r="F22" s="18">
        <f ca="1">'DG - HG907- internat - mii.lei'!F22+'DG - HG907- Sala Fest- mii.'!F22</f>
        <v>0</v>
      </c>
      <c r="G22" s="18">
        <f ca="1">'DG - HG907- internat - mii.lei'!G22+'DG - HG907- Sala Fest- mii.'!G22</f>
        <v>0</v>
      </c>
      <c r="H22" s="18">
        <f ca="1">'DG - HG907- internat - mii.lei'!H22+'DG - HG907- Sala Fest- mii.'!H22</f>
        <v>0</v>
      </c>
      <c r="I22" s="39"/>
      <c r="J22" s="6"/>
      <c r="K22" s="30">
        <v>3.4258093325599939E-2</v>
      </c>
    </row>
    <row r="23" spans="2:11" ht="15.75" thickBot="1">
      <c r="B23" s="16" t="s">
        <v>23</v>
      </c>
      <c r="C23" s="20" t="s">
        <v>24</v>
      </c>
      <c r="D23" s="18">
        <f ca="1">'DG - HG907- internat - mii.lei'!D23+'DG - HG907- Sala Fest- mii.'!D23</f>
        <v>0</v>
      </c>
      <c r="E23" s="18">
        <f ca="1">'DG - HG907- internat - mii.lei'!E23+'DG - HG907- Sala Fest- mii.'!E23</f>
        <v>0</v>
      </c>
      <c r="F23" s="18">
        <f ca="1">'DG - HG907- internat - mii.lei'!F23+'DG - HG907- Sala Fest- mii.'!F23</f>
        <v>0</v>
      </c>
      <c r="G23" s="18">
        <f ca="1">'DG - HG907- internat - mii.lei'!G23+'DG - HG907- Sala Fest- mii.'!G23</f>
        <v>0</v>
      </c>
      <c r="H23" s="18">
        <f ca="1">'DG - HG907- internat - mii.lei'!H23+'DG - HG907- Sala Fest- mii.'!H23</f>
        <v>0</v>
      </c>
      <c r="I23" s="39"/>
      <c r="K23" s="30"/>
    </row>
    <row r="24" spans="2:11" ht="15.75" thickBot="1">
      <c r="B24" s="16" t="s">
        <v>25</v>
      </c>
      <c r="C24" s="20" t="s">
        <v>26</v>
      </c>
      <c r="D24" s="18">
        <f ca="1">'DG - HG907- internat - mii.lei'!D24+'DG - HG907- Sala Fest- mii.'!D24</f>
        <v>0</v>
      </c>
      <c r="E24" s="18">
        <f ca="1">'DG - HG907- internat - mii.lei'!E24+'DG - HG907- Sala Fest- mii.'!E24</f>
        <v>0</v>
      </c>
      <c r="F24" s="18">
        <f ca="1">'DG - HG907- internat - mii.lei'!F24+'DG - HG907- Sala Fest- mii.'!F24</f>
        <v>0</v>
      </c>
      <c r="G24" s="18">
        <f ca="1">'DG - HG907- internat - mii.lei'!G24+'DG - HG907- Sala Fest- mii.'!G24</f>
        <v>0</v>
      </c>
      <c r="H24" s="18">
        <f ca="1">'DG - HG907- internat - mii.lei'!H24+'DG - HG907- Sala Fest- mii.'!H24</f>
        <v>0</v>
      </c>
      <c r="I24" s="39"/>
      <c r="K24" s="30"/>
    </row>
    <row r="25" spans="2:11" ht="15.75" thickBot="1">
      <c r="B25" s="16" t="s">
        <v>27</v>
      </c>
      <c r="C25" s="20" t="s">
        <v>28</v>
      </c>
      <c r="D25" s="18">
        <f ca="1">'DG - HG907- internat - mii.lei'!D25+'DG - HG907- Sala Fest- mii.'!D25</f>
        <v>0</v>
      </c>
      <c r="E25" s="18">
        <f ca="1">'DG - HG907- internat - mii.lei'!E25+'DG - HG907- Sala Fest- mii.'!E25</f>
        <v>0</v>
      </c>
      <c r="F25" s="18">
        <f ca="1">'DG - HG907- internat - mii.lei'!F25+'DG - HG907- Sala Fest- mii.'!F25</f>
        <v>0</v>
      </c>
      <c r="G25" s="18">
        <f ca="1">'DG - HG907- internat - mii.lei'!G25+'DG - HG907- Sala Fest- mii.'!G25</f>
        <v>0</v>
      </c>
      <c r="H25" s="18">
        <f ca="1">'DG - HG907- internat - mii.lei'!H25+'DG - HG907- Sala Fest- mii.'!H25</f>
        <v>0</v>
      </c>
      <c r="I25" s="39"/>
      <c r="K25" s="30"/>
    </row>
    <row r="26" spans="2:11" ht="15.75" thickBot="1">
      <c r="B26" s="16" t="s">
        <v>29</v>
      </c>
      <c r="C26" s="20" t="s">
        <v>30</v>
      </c>
      <c r="D26" s="18">
        <f ca="1">'DG - HG907- internat - mii.lei'!D26+'DG - HG907- Sala Fest- mii.'!D26</f>
        <v>0</v>
      </c>
      <c r="E26" s="18">
        <f ca="1">'DG - HG907- internat - mii.lei'!E26+'DG - HG907- Sala Fest- mii.'!E26</f>
        <v>0</v>
      </c>
      <c r="F26" s="18">
        <f ca="1">'DG - HG907- internat - mii.lei'!F26+'DG - HG907- Sala Fest- mii.'!F26</f>
        <v>0</v>
      </c>
      <c r="G26" s="18">
        <f ca="1">'DG - HG907- internat - mii.lei'!G26+'DG - HG907- Sala Fest- mii.'!G26</f>
        <v>0</v>
      </c>
      <c r="H26" s="18">
        <f ca="1">'DG - HG907- internat - mii.lei'!H26+'DG - HG907- Sala Fest- mii.'!H26</f>
        <v>0</v>
      </c>
      <c r="I26" s="39"/>
      <c r="K26" s="30"/>
    </row>
    <row r="27" spans="2:11" ht="15.75" thickBot="1">
      <c r="B27" s="16" t="s">
        <v>31</v>
      </c>
      <c r="C27" s="20" t="s">
        <v>32</v>
      </c>
      <c r="D27" s="18">
        <f ca="1">'DG - HG907- internat - mii.lei'!D27+'DG - HG907- Sala Fest- mii.'!D27</f>
        <v>0</v>
      </c>
      <c r="E27" s="18">
        <f ca="1">'DG - HG907- internat - mii.lei'!E27+'DG - HG907- Sala Fest- mii.'!E27</f>
        <v>0</v>
      </c>
      <c r="F27" s="18">
        <f ca="1">'DG - HG907- internat - mii.lei'!F27+'DG - HG907- Sala Fest- mii.'!F27</f>
        <v>0</v>
      </c>
      <c r="G27" s="18">
        <f ca="1">'DG - HG907- internat - mii.lei'!G27+'DG - HG907- Sala Fest- mii.'!G27</f>
        <v>0</v>
      </c>
      <c r="H27" s="18">
        <f ca="1">'DG - HG907- internat - mii.lei'!H27+'DG - HG907- Sala Fest- mii.'!H27</f>
        <v>0</v>
      </c>
      <c r="I27" s="39"/>
      <c r="K27" s="30"/>
    </row>
    <row r="28" spans="2:11" ht="26.25" thickBot="1">
      <c r="B28" s="16" t="s">
        <v>33</v>
      </c>
      <c r="C28" s="17" t="s">
        <v>34</v>
      </c>
      <c r="D28" s="18">
        <f ca="1">'DG - HG907- internat - mii.lei'!D28+'DG - HG907- Sala Fest- mii.'!D28</f>
        <v>0</v>
      </c>
      <c r="E28" s="18">
        <f ca="1">'DG - HG907- internat - mii.lei'!E28+'DG - HG907- Sala Fest- mii.'!E28</f>
        <v>0</v>
      </c>
      <c r="F28" s="18">
        <f ca="1">'DG - HG907- internat - mii.lei'!F28+'DG - HG907- Sala Fest- mii.'!F28</f>
        <v>0</v>
      </c>
      <c r="G28" s="18">
        <f ca="1">'DG - HG907- internat - mii.lei'!G28+'DG - HG907- Sala Fest- mii.'!G28</f>
        <v>0</v>
      </c>
      <c r="H28" s="18">
        <f ca="1">'DG - HG907- internat - mii.lei'!H28+'DG - HG907- Sala Fest- mii.'!H28</f>
        <v>0</v>
      </c>
      <c r="I28" s="39"/>
      <c r="K28" s="30"/>
    </row>
    <row r="29" spans="2:11" ht="26.25" thickBot="1">
      <c r="B29" s="16">
        <v>3.2</v>
      </c>
      <c r="C29" s="17" t="s">
        <v>35</v>
      </c>
      <c r="D29" s="18">
        <f ca="1">'DG - HG907- internat - mii.lei'!D29+'DG - HG907- Sala Fest- mii.'!D29</f>
        <v>10</v>
      </c>
      <c r="E29" s="18">
        <f ca="1">'DG - HG907- internat - mii.lei'!E29+'DG - HG907- Sala Fest- mii.'!E29</f>
        <v>2.2137607367395731</v>
      </c>
      <c r="F29" s="18">
        <f ca="1">'DG - HG907- internat - mii.lei'!F29+'DG - HG907- Sala Fest- mii.'!F29</f>
        <v>1.9</v>
      </c>
      <c r="G29" s="18">
        <f ca="1">'DG - HG907- internat - mii.lei'!G29+'DG - HG907- Sala Fest- mii.'!G29</f>
        <v>11.9</v>
      </c>
      <c r="H29" s="18">
        <f ca="1">'DG - HG907- internat - mii.lei'!H29+'DG - HG907- Sala Fest- mii.'!H29</f>
        <v>2.6343752767200921</v>
      </c>
      <c r="I29" s="39"/>
      <c r="K29" s="30"/>
    </row>
    <row r="30" spans="2:11" ht="15.75" thickBot="1">
      <c r="B30" s="16">
        <v>3.3</v>
      </c>
      <c r="C30" s="17" t="s">
        <v>36</v>
      </c>
      <c r="D30" s="18">
        <f ca="1">'DG - HG907- internat - mii.lei'!D30+'DG - HG907- Sala Fest- mii.'!D30</f>
        <v>12</v>
      </c>
      <c r="E30" s="18">
        <f ca="1">'DG - HG907- internat - mii.lei'!E30+'DG - HG907- Sala Fest- mii.'!E30</f>
        <v>2.6565128840874879</v>
      </c>
      <c r="F30" s="18">
        <f ca="1">'DG - HG907- internat - mii.lei'!F30+'DG - HG907- Sala Fest- mii.'!F30</f>
        <v>2.2800000000000002</v>
      </c>
      <c r="G30" s="18">
        <f ca="1">'DG - HG907- internat - mii.lei'!G30+'DG - HG907- Sala Fest- mii.'!G30</f>
        <v>14.280000000000001</v>
      </c>
      <c r="H30" s="18">
        <f ca="1">'DG - HG907- internat - mii.lei'!H30+'DG - HG907- Sala Fest- mii.'!H30</f>
        <v>3.1612503320641103</v>
      </c>
      <c r="I30" s="39"/>
      <c r="K30" s="30"/>
    </row>
    <row r="31" spans="2:11" ht="26.25" thickBot="1">
      <c r="B31" s="16">
        <v>3.4</v>
      </c>
      <c r="C31" s="17" t="s">
        <v>37</v>
      </c>
      <c r="D31" s="18">
        <f ca="1">'DG - HG907- internat - mii.lei'!D31+'DG - HG907- Sala Fest- mii.'!D31</f>
        <v>20</v>
      </c>
      <c r="E31" s="18">
        <f ca="1">'DG - HG907- internat - mii.lei'!E31+'DG - HG907- Sala Fest- mii.'!E31</f>
        <v>4.4275214734791462</v>
      </c>
      <c r="F31" s="18">
        <f ca="1">'DG - HG907- internat - mii.lei'!F31+'DG - HG907- Sala Fest- mii.'!F31</f>
        <v>3.8</v>
      </c>
      <c r="G31" s="18">
        <f ca="1">'DG - HG907- internat - mii.lei'!G31+'DG - HG907- Sala Fest- mii.'!G31</f>
        <v>23.8</v>
      </c>
      <c r="H31" s="18">
        <f ca="1">'DG - HG907- internat - mii.lei'!H31+'DG - HG907- Sala Fest- mii.'!H31</f>
        <v>5.2687505534401842</v>
      </c>
      <c r="I31" s="39"/>
      <c r="K31" s="30"/>
    </row>
    <row r="32" spans="2:11" ht="15.75" thickBot="1">
      <c r="B32" s="16">
        <v>3.5</v>
      </c>
      <c r="C32" s="20" t="s">
        <v>38</v>
      </c>
      <c r="D32" s="18">
        <f ca="1">'DG - HG907- internat - mii.lei'!D32+'DG - HG907- Sala Fest- mii.'!D32</f>
        <v>151.07069156762876</v>
      </c>
      <c r="E32" s="18">
        <f ca="1">'DG - HG907- internat - mii.lei'!E32+'DG - HG907- Sala Fest- mii.'!E32</f>
        <v>33.443436546451068</v>
      </c>
      <c r="F32" s="18">
        <f ca="1">'DG - HG907- internat - mii.lei'!F32+'DG - HG907- Sala Fest- mii.'!F32</f>
        <v>28.703431397849467</v>
      </c>
      <c r="G32" s="18">
        <f ca="1">'DG - HG907- internat - mii.lei'!G32+'DG - HG907- Sala Fest- mii.'!G32</f>
        <v>179.77412296547823</v>
      </c>
      <c r="H32" s="18">
        <f ca="1">'DG - HG907- internat - mii.lei'!H32+'DG - HG907- Sala Fest- mii.'!H32</f>
        <v>39.797689490276774</v>
      </c>
      <c r="I32" s="39"/>
      <c r="K32" s="30"/>
    </row>
    <row r="33" spans="2:18" ht="15.75" thickBot="1">
      <c r="B33" s="16" t="s">
        <v>39</v>
      </c>
      <c r="C33" s="20" t="s">
        <v>40</v>
      </c>
      <c r="D33" s="18">
        <f ca="1">'DG - HG907- internat - mii.lei'!D33+'DG - HG907- Sala Fest- mii.'!D33</f>
        <v>0</v>
      </c>
      <c r="E33" s="18">
        <f ca="1">'DG - HG907- internat - mii.lei'!E33+'DG - HG907- Sala Fest- mii.'!E33</f>
        <v>0</v>
      </c>
      <c r="F33" s="18">
        <f ca="1">'DG - HG907- internat - mii.lei'!F33+'DG - HG907- Sala Fest- mii.'!F33</f>
        <v>0</v>
      </c>
      <c r="G33" s="18">
        <f ca="1">'DG - HG907- internat - mii.lei'!G33+'DG - HG907- Sala Fest- mii.'!G33</f>
        <v>0</v>
      </c>
      <c r="H33" s="18">
        <f ca="1">'DG - HG907- internat - mii.lei'!H33+'DG - HG907- Sala Fest- mii.'!H33</f>
        <v>0</v>
      </c>
      <c r="I33" s="39"/>
      <c r="K33" s="30"/>
    </row>
    <row r="34" spans="2:18" ht="15.75" thickBot="1">
      <c r="B34" s="16" t="s">
        <v>41</v>
      </c>
      <c r="C34" s="20" t="s">
        <v>42</v>
      </c>
      <c r="D34" s="18">
        <f ca="1">'DG - HG907- internat - mii.lei'!D34+'DG - HG907- Sala Fest- mii.'!D34</f>
        <v>0</v>
      </c>
      <c r="E34" s="18">
        <f ca="1">'DG - HG907- internat - mii.lei'!E34+'DG - HG907- Sala Fest- mii.'!E34</f>
        <v>0</v>
      </c>
      <c r="F34" s="18">
        <f ca="1">'DG - HG907- internat - mii.lei'!F34+'DG - HG907- Sala Fest- mii.'!F34</f>
        <v>0</v>
      </c>
      <c r="G34" s="18">
        <f ca="1">'DG - HG907- internat - mii.lei'!G34+'DG - HG907- Sala Fest- mii.'!G34</f>
        <v>0</v>
      </c>
      <c r="H34" s="18">
        <f ca="1">'DG - HG907- internat - mii.lei'!H34+'DG - HG907- Sala Fest- mii.'!H34</f>
        <v>0</v>
      </c>
      <c r="I34" s="39"/>
      <c r="K34" s="30"/>
    </row>
    <row r="35" spans="2:18" ht="26.25" thickBot="1">
      <c r="B35" s="16" t="s">
        <v>43</v>
      </c>
      <c r="C35" s="17" t="s">
        <v>44</v>
      </c>
      <c r="D35" s="18">
        <f ca="1">'DG - HG907- internat - mii.lei'!D35+'DG - HG907- Sala Fest- mii.'!D35</f>
        <v>26.571464622268799</v>
      </c>
      <c r="E35" s="18">
        <f ca="1">'DG - HG907- internat - mii.lei'!E35+'DG - HG907- Sala Fest- mii.'!E35</f>
        <v>5.8822865098443291</v>
      </c>
      <c r="F35" s="18">
        <f ca="1">'DG - HG907- internat - mii.lei'!F35+'DG - HG907- Sala Fest- mii.'!F35</f>
        <v>5.048578278231072</v>
      </c>
      <c r="G35" s="18">
        <f ca="1">'DG - HG907- internat - mii.lei'!G35+'DG - HG907- Sala Fest- mii.'!G35</f>
        <v>31.620042900499872</v>
      </c>
      <c r="H35" s="18">
        <f ca="1">'DG - HG907- internat - mii.lei'!H35+'DG - HG907- Sala Fest- mii.'!H35</f>
        <v>6.9999209467147505</v>
      </c>
      <c r="I35" s="39"/>
      <c r="J35" s="6"/>
      <c r="K35" s="30"/>
    </row>
    <row r="36" spans="2:18" ht="26.25" thickBot="1">
      <c r="B36" s="16" t="s">
        <v>45</v>
      </c>
      <c r="C36" s="17" t="s">
        <v>46</v>
      </c>
      <c r="D36" s="18">
        <f ca="1">'DG - HG907- internat - mii.lei'!D36+'DG - HG907- Sala Fest- mii.'!D36</f>
        <v>16.685689718920958</v>
      </c>
      <c r="E36" s="18">
        <f ca="1">'DG - HG907- internat - mii.lei'!E36+'DG - HG907- Sala Fest- mii.'!E36</f>
        <v>3.6938124765166385</v>
      </c>
      <c r="F36" s="18">
        <f ca="1">'DG - HG907- internat - mii.lei'!F36+'DG - HG907- Sala Fest- mii.'!F36</f>
        <v>3.1702810465949822</v>
      </c>
      <c r="G36" s="18">
        <f ca="1">'DG - HG907- internat - mii.lei'!G36+'DG - HG907- Sala Fest- mii.'!G36</f>
        <v>19.855970765515941</v>
      </c>
      <c r="H36" s="18">
        <f ca="1">'DG - HG907- internat - mii.lei'!H36+'DG - HG907- Sala Fest- mii.'!H36</f>
        <v>4.3956368470548002</v>
      </c>
      <c r="I36" s="39"/>
      <c r="J36" s="6"/>
      <c r="K36" s="30"/>
    </row>
    <row r="37" spans="2:18" ht="26.25" thickBot="1">
      <c r="B37" s="16" t="s">
        <v>47</v>
      </c>
      <c r="C37" s="17" t="s">
        <v>48</v>
      </c>
      <c r="D37" s="18">
        <f ca="1">'DG - HG907- internat - mii.lei'!D37+'DG - HG907- Sala Fest- mii.'!D37</f>
        <v>20.142758875683839</v>
      </c>
      <c r="E37" s="18">
        <f ca="1">'DG - HG907- internat - mii.lei'!E37+'DG - HG907- Sala Fest- mii.'!E37</f>
        <v>4.4591248728601425</v>
      </c>
      <c r="F37" s="18">
        <f ca="1">'DG - HG907- internat - mii.lei'!F37+'DG - HG907- Sala Fest- mii.'!F37</f>
        <v>3.8271241863799288</v>
      </c>
      <c r="G37" s="18">
        <f ca="1">'DG - HG907- internat - mii.lei'!G37+'DG - HG907- Sala Fest- mii.'!G37</f>
        <v>23.969883062063765</v>
      </c>
      <c r="H37" s="18">
        <f ca="1">'DG - HG907- internat - mii.lei'!H37+'DG - HG907- Sala Fest- mii.'!H37</f>
        <v>5.3063585987035697</v>
      </c>
      <c r="I37" s="39"/>
      <c r="J37" s="6"/>
      <c r="K37" s="30"/>
    </row>
    <row r="38" spans="2:18" ht="15.75" thickBot="1">
      <c r="B38" s="16" t="s">
        <v>49</v>
      </c>
      <c r="C38" s="20" t="s">
        <v>50</v>
      </c>
      <c r="D38" s="18">
        <f ca="1">'DG - HG907- internat - mii.lei'!D38+'DG - HG907- Sala Fest- mii.'!D38</f>
        <v>87.670778350755171</v>
      </c>
      <c r="E38" s="18">
        <f ca="1">'DG - HG907- internat - mii.lei'!E38+'DG - HG907- Sala Fest- mii.'!E38</f>
        <v>19.408212687229959</v>
      </c>
      <c r="F38" s="18">
        <f ca="1">'DG - HG907- internat - mii.lei'!F38+'DG - HG907- Sala Fest- mii.'!F38</f>
        <v>16.657447886643482</v>
      </c>
      <c r="G38" s="18">
        <f ca="1">'DG - HG907- internat - mii.lei'!G38+'DG - HG907- Sala Fest- mii.'!G38</f>
        <v>104.32822623739865</v>
      </c>
      <c r="H38" s="18">
        <f ca="1">'DG - HG907- internat - mii.lei'!H38+'DG - HG907- Sala Fest- mii.'!H38</f>
        <v>23.095773097803651</v>
      </c>
      <c r="I38" s="39"/>
      <c r="J38" s="6"/>
      <c r="K38" s="30"/>
    </row>
    <row r="39" spans="2:18" ht="15.75" thickBot="1">
      <c r="B39" s="16">
        <v>3.6</v>
      </c>
      <c r="C39" s="20" t="s">
        <v>51</v>
      </c>
      <c r="D39" s="18">
        <f ca="1">'DG - HG907- internat - mii.lei'!D39+'DG - HG907- Sala Fest- mii.'!D39</f>
        <v>0</v>
      </c>
      <c r="E39" s="18">
        <f ca="1">'DG - HG907- internat - mii.lei'!E39+'DG - HG907- Sala Fest- mii.'!E39</f>
        <v>0</v>
      </c>
      <c r="F39" s="18">
        <f ca="1">'DG - HG907- internat - mii.lei'!F39+'DG - HG907- Sala Fest- mii.'!F39</f>
        <v>0</v>
      </c>
      <c r="G39" s="18">
        <f ca="1">'DG - HG907- internat - mii.lei'!G39+'DG - HG907- Sala Fest- mii.'!G39</f>
        <v>0</v>
      </c>
      <c r="H39" s="18">
        <f ca="1">'DG - HG907- internat - mii.lei'!H39+'DG - HG907- Sala Fest- mii.'!H39</f>
        <v>0</v>
      </c>
      <c r="I39" s="39"/>
      <c r="K39" s="30"/>
    </row>
    <row r="40" spans="2:18" ht="15.75" thickBot="1">
      <c r="B40" s="16">
        <v>3.7</v>
      </c>
      <c r="C40" s="20" t="s">
        <v>52</v>
      </c>
      <c r="D40" s="18">
        <f ca="1">'DG - HG907- internat - mii.lei'!D40+'DG - HG907- Sala Fest- mii.'!D40</f>
        <v>5</v>
      </c>
      <c r="E40" s="18">
        <f ca="1">'DG - HG907- internat - mii.lei'!E40+'DG - HG907- Sala Fest- mii.'!E40</f>
        <v>1.1068803683697865</v>
      </c>
      <c r="F40" s="18">
        <f ca="1">'DG - HG907- internat - mii.lei'!F40+'DG - HG907- Sala Fest- mii.'!F40</f>
        <v>0.95000000000000007</v>
      </c>
      <c r="G40" s="18">
        <f ca="1">'DG - HG907- internat - mii.lei'!G40+'DG - HG907- Sala Fest- mii.'!G40</f>
        <v>5.95</v>
      </c>
      <c r="H40" s="18">
        <f ca="1">'DG - HG907- internat - mii.lei'!H40+'DG - HG907- Sala Fest- mii.'!H40</f>
        <v>1.317187638360046</v>
      </c>
      <c r="I40" s="39"/>
      <c r="J40" s="6"/>
      <c r="K40" s="30"/>
    </row>
    <row r="41" spans="2:18" ht="26.25" thickBot="1">
      <c r="B41" s="16" t="s">
        <v>53</v>
      </c>
      <c r="C41" s="17" t="s">
        <v>54</v>
      </c>
      <c r="D41" s="18">
        <f ca="1">'DG - HG907- internat - mii.lei'!D41+'DG - HG907- Sala Fest- mii.'!D41</f>
        <v>0</v>
      </c>
      <c r="E41" s="18">
        <f ca="1">'DG - HG907- internat - mii.lei'!E41+'DG - HG907- Sala Fest- mii.'!E41</f>
        <v>0</v>
      </c>
      <c r="F41" s="18">
        <f ca="1">'DG - HG907- internat - mii.lei'!F41+'DG - HG907- Sala Fest- mii.'!F41</f>
        <v>0</v>
      </c>
      <c r="G41" s="18">
        <f ca="1">'DG - HG907- internat - mii.lei'!G41+'DG - HG907- Sala Fest- mii.'!G41</f>
        <v>0</v>
      </c>
      <c r="H41" s="18">
        <f ca="1">'DG - HG907- internat - mii.lei'!H41+'DG - HG907- Sala Fest- mii.'!H41</f>
        <v>0</v>
      </c>
      <c r="I41" s="39"/>
      <c r="J41" s="6"/>
      <c r="K41" s="30">
        <v>5.9579292740173807E-3</v>
      </c>
    </row>
    <row r="42" spans="2:18" ht="15.75" thickBot="1">
      <c r="B42" s="16" t="s">
        <v>55</v>
      </c>
      <c r="C42" s="17" t="s">
        <v>56</v>
      </c>
      <c r="D42" s="18">
        <f ca="1">'DG - HG907- internat - mii.lei'!D42+'DG - HG907- Sala Fest- mii.'!D42</f>
        <v>5</v>
      </c>
      <c r="E42" s="18">
        <f ca="1">'DG - HG907- internat - mii.lei'!E42+'DG - HG907- Sala Fest- mii.'!E42</f>
        <v>1.1068803683697865</v>
      </c>
      <c r="F42" s="18">
        <f ca="1">'DG - HG907- internat - mii.lei'!F42+'DG - HG907- Sala Fest- mii.'!F42</f>
        <v>0</v>
      </c>
      <c r="G42" s="18">
        <f ca="1">'DG - HG907- internat - mii.lei'!G42+'DG - HG907- Sala Fest- mii.'!G42</f>
        <v>5</v>
      </c>
      <c r="H42" s="18">
        <f ca="1">'DG - HG907- internat - mii.lei'!H42+'DG - HG907- Sala Fest- mii.'!H42</f>
        <v>1.1068803683697865</v>
      </c>
      <c r="I42" s="39"/>
      <c r="J42" s="6"/>
      <c r="K42" s="30">
        <v>2.9789646370086903E-3</v>
      </c>
    </row>
    <row r="43" spans="2:18" ht="15.75" thickBot="1">
      <c r="B43" s="16">
        <v>3.8</v>
      </c>
      <c r="C43" s="17" t="s">
        <v>57</v>
      </c>
      <c r="D43" s="18">
        <f ca="1">'DG - HG907- internat - mii.lei'!D43+'DG - HG907- Sala Fest- mii.'!D43</f>
        <v>75.535345783814378</v>
      </c>
      <c r="E43" s="18">
        <f ca="1">'DG - HG907- internat - mii.lei'!E43+'DG - HG907- Sala Fest- mii.'!E43</f>
        <v>16.721718273225534</v>
      </c>
      <c r="F43" s="18">
        <f ca="1">'DG - HG907- internat - mii.lei'!F43+'DG - HG907- Sala Fest- mii.'!F43</f>
        <v>14.351715698924734</v>
      </c>
      <c r="G43" s="18">
        <f ca="1">'DG - HG907- internat - mii.lei'!G43+'DG - HG907- Sala Fest- mii.'!G43</f>
        <v>89.887061482739114</v>
      </c>
      <c r="H43" s="18">
        <f ca="1">'DG - HG907- internat - mii.lei'!H43+'DG - HG907- Sala Fest- mii.'!H43</f>
        <v>19.898844745138387</v>
      </c>
      <c r="I43" s="39"/>
      <c r="J43" s="6"/>
      <c r="K43" s="30">
        <v>1.4999999999999999E-2</v>
      </c>
    </row>
    <row r="44" spans="2:18" ht="15.75" thickBot="1">
      <c r="B44" s="16" t="s">
        <v>58</v>
      </c>
      <c r="C44" s="17" t="s">
        <v>59</v>
      </c>
      <c r="D44" s="18">
        <f ca="1">'DG - HG907- internat - mii.lei'!D44+'DG - HG907- Sala Fest- mii.'!D44</f>
        <v>25.178448594604795</v>
      </c>
      <c r="E44" s="18">
        <f ca="1">'DG - HG907- internat - mii.lei'!E44+'DG - HG907- Sala Fest- mii.'!E44</f>
        <v>5.5739060910751785</v>
      </c>
      <c r="F44" s="18">
        <f ca="1">'DG - HG907- internat - mii.lei'!F44+'DG - HG907- Sala Fest- mii.'!F44</f>
        <v>4.7839052329749112</v>
      </c>
      <c r="G44" s="18">
        <f ca="1">'DG - HG907- internat - mii.lei'!G44+'DG - HG907- Sala Fest- mii.'!G44</f>
        <v>29.962353827579705</v>
      </c>
      <c r="H44" s="18">
        <f ca="1">'DG - HG907- internat - mii.lei'!H44+'DG - HG907- Sala Fest- mii.'!H44</f>
        <v>6.6329482483794617</v>
      </c>
      <c r="I44" s="39"/>
      <c r="J44" s="6"/>
      <c r="K44" s="30">
        <v>5.0000000000000001E-3</v>
      </c>
    </row>
    <row r="45" spans="2:18" ht="15.75" thickBot="1">
      <c r="B45" s="16" t="s">
        <v>60</v>
      </c>
      <c r="C45" s="17" t="s">
        <v>61</v>
      </c>
      <c r="D45" s="18">
        <f ca="1">'DG - HG907- internat - mii.lei'!D45+'DG - HG907- Sala Fest- mii.'!D45</f>
        <v>17.624914016223354</v>
      </c>
      <c r="E45" s="18">
        <f ca="1">'DG - HG907- internat - mii.lei'!E45+'DG - HG907- Sala Fest- mii.'!E45</f>
        <v>3.9017342637526244</v>
      </c>
      <c r="F45" s="18">
        <f ca="1">'DG - HG907- internat - mii.lei'!F45+'DG - HG907- Sala Fest- mii.'!F45</f>
        <v>3.3487336630824376</v>
      </c>
      <c r="G45" s="18">
        <f ca="1">'DG - HG907- internat - mii.lei'!G45+'DG - HG907- Sala Fest- mii.'!G45</f>
        <v>20.973647679305792</v>
      </c>
      <c r="H45" s="18">
        <f ca="1">'DG - HG907- internat - mii.lei'!H45+'DG - HG907- Sala Fest- mii.'!H45</f>
        <v>4.6430637738656237</v>
      </c>
      <c r="I45" s="39"/>
      <c r="J45" s="6"/>
      <c r="K45" s="30">
        <v>3.5000000000000001E-3</v>
      </c>
    </row>
    <row r="46" spans="2:18" ht="51.75" thickBot="1">
      <c r="B46" s="16" t="s">
        <v>62</v>
      </c>
      <c r="C46" s="17" t="s">
        <v>63</v>
      </c>
      <c r="D46" s="18">
        <f ca="1">'DG - HG907- internat - mii.lei'!D46+'DG - HG907- Sala Fest- mii.'!D46</f>
        <v>7.5535345783814378</v>
      </c>
      <c r="E46" s="18">
        <f ca="1">'DG - HG907- internat - mii.lei'!E46+'DG - HG907- Sala Fest- mii.'!E46</f>
        <v>1.6721718273225534</v>
      </c>
      <c r="F46" s="18">
        <f ca="1">'DG - HG907- internat - mii.lei'!F46+'DG - HG907- Sala Fest- mii.'!F46</f>
        <v>1.4351715698924732</v>
      </c>
      <c r="G46" s="18">
        <f ca="1">'DG - HG907- internat - mii.lei'!G46+'DG - HG907- Sala Fest- mii.'!G46</f>
        <v>8.988706148273911</v>
      </c>
      <c r="H46" s="18">
        <f ca="1">'DG - HG907- internat - mii.lei'!H46+'DG - HG907- Sala Fest- mii.'!H46</f>
        <v>1.9898844745138384</v>
      </c>
      <c r="I46" s="39"/>
      <c r="J46" s="6"/>
      <c r="K46" s="30">
        <v>1.5E-3</v>
      </c>
    </row>
    <row r="47" spans="2:18" ht="15.75" thickBot="1">
      <c r="B47" s="16" t="s">
        <v>64</v>
      </c>
      <c r="C47" s="20" t="s">
        <v>65</v>
      </c>
      <c r="D47" s="18">
        <f ca="1">'DG - HG907- internat - mii.lei'!D47+'DG - HG907- Sala Fest- mii.'!D47</f>
        <v>50.35689718920959</v>
      </c>
      <c r="E47" s="18">
        <f ca="1">'DG - HG907- internat - mii.lei'!E47+'DG - HG907- Sala Fest- mii.'!E47</f>
        <v>11.147812182150357</v>
      </c>
      <c r="F47" s="18">
        <f ca="1">'DG - HG907- internat - mii.lei'!F47+'DG - HG907- Sala Fest- mii.'!F47</f>
        <v>9.5678104659498224</v>
      </c>
      <c r="G47" s="18">
        <f ca="1">'DG - HG907- internat - mii.lei'!G47+'DG - HG907- Sala Fest- mii.'!G47</f>
        <v>59.924707655159409</v>
      </c>
      <c r="H47" s="18">
        <f ca="1">'DG - HG907- internat - mii.lei'!H47+'DG - HG907- Sala Fest- mii.'!H47</f>
        <v>13.265896496758923</v>
      </c>
      <c r="I47" s="39"/>
      <c r="J47" s="6"/>
      <c r="K47" s="30">
        <v>0.01</v>
      </c>
    </row>
    <row r="48" spans="2:18" ht="15.75" thickBot="1">
      <c r="B48" s="59" t="s">
        <v>66</v>
      </c>
      <c r="C48" s="60"/>
      <c r="D48" s="19">
        <f>D22+D29+D30+D31+D32+D39+D40+D43</f>
        <v>273.60603735144315</v>
      </c>
      <c r="E48" s="19">
        <f>D48/$E$8</f>
        <v>60.569830282352598</v>
      </c>
      <c r="F48" s="19">
        <f>F22+F29+F30+F31+F32+F39+F40+F43</f>
        <v>51.985147096774206</v>
      </c>
      <c r="G48" s="19">
        <f>D48+F48</f>
        <v>325.59118444821735</v>
      </c>
      <c r="H48" s="19">
        <f>G48/$E$8</f>
        <v>72.078098035999588</v>
      </c>
      <c r="I48" s="40"/>
      <c r="J48" s="44"/>
      <c r="K48" s="44"/>
      <c r="L48" s="44"/>
      <c r="M48" s="44"/>
      <c r="N48" s="44"/>
      <c r="O48" s="44"/>
      <c r="P48" s="44"/>
      <c r="Q48" s="44"/>
      <c r="R48" s="44"/>
    </row>
    <row r="49" spans="2:11" ht="15.75" thickBot="1">
      <c r="B49" s="61" t="s">
        <v>67</v>
      </c>
      <c r="C49" s="62"/>
      <c r="D49" s="62"/>
      <c r="E49" s="62"/>
      <c r="F49" s="62"/>
      <c r="G49" s="62"/>
      <c r="H49" s="63"/>
      <c r="I49" s="41"/>
    </row>
    <row r="50" spans="2:11" ht="15.75" thickBot="1">
      <c r="B50" s="23">
        <v>4.0999999999999996</v>
      </c>
      <c r="C50" s="24" t="s">
        <v>68</v>
      </c>
      <c r="D50" s="21">
        <f>SUM(D51:D52)</f>
        <v>3627.8968786569599</v>
      </c>
      <c r="E50" s="21">
        <f>D50/$E$8</f>
        <v>803.12956669108291</v>
      </c>
      <c r="F50" s="21">
        <f>SUM(F51:F52)</f>
        <v>689.30040694482238</v>
      </c>
      <c r="G50" s="21">
        <f>D50+F50</f>
        <v>4317.1972856017819</v>
      </c>
      <c r="H50" s="21">
        <f>G50/$E$8</f>
        <v>955.72418436238866</v>
      </c>
      <c r="I50" s="40"/>
    </row>
    <row r="51" spans="2:11" ht="26.25" thickBot="1">
      <c r="B51" s="16" t="s">
        <v>69</v>
      </c>
      <c r="C51" s="25" t="s">
        <v>94</v>
      </c>
      <c r="D51" s="18">
        <f ca="1">'DG - HG907- internat - mii.lei'!D51+'DG - HG907- Sala Fest- mii.'!D51</f>
        <v>3296.48899165696</v>
      </c>
      <c r="E51" s="18">
        <f ca="1">'DG - HG907- internat - mii.lei'!E51+'DG - HG907- Sala Fest- mii.'!E51</f>
        <v>729.76378988244039</v>
      </c>
      <c r="F51" s="18">
        <f ca="1">'DG - HG907- internat - mii.lei'!F51+'DG - HG907- Sala Fest- mii.'!F51</f>
        <v>626.33290841482233</v>
      </c>
      <c r="G51" s="18">
        <f ca="1">'DG - HG907- internat - mii.lei'!G51+'DG - HG907- Sala Fest- mii.'!G51</f>
        <v>3922.8219000717818</v>
      </c>
      <c r="H51" s="18">
        <f ca="1">'DG - HG907- internat - mii.lei'!H51+'DG - HG907- Sala Fest- mii.'!H51</f>
        <v>868.41890996010397</v>
      </c>
      <c r="I51" s="39"/>
      <c r="J51" s="29">
        <v>2860200.4766569599</v>
      </c>
    </row>
    <row r="52" spans="2:11" ht="26.25" thickBot="1">
      <c r="B52" s="16" t="s">
        <v>70</v>
      </c>
      <c r="C52" s="25" t="s">
        <v>95</v>
      </c>
      <c r="D52" s="18">
        <f ca="1">'DG - HG907- internat - mii.lei'!D52+'DG - HG907- Sala Fest- mii.'!D52</f>
        <v>331.40788700000002</v>
      </c>
      <c r="E52" s="18">
        <f ca="1">'DG - HG907- internat - mii.lei'!E52+'DG - HG907- Sala Fest- mii.'!E52</f>
        <v>73.365776808642522</v>
      </c>
      <c r="F52" s="18">
        <f ca="1">'DG - HG907- internat - mii.lei'!F52+'DG - HG907- Sala Fest- mii.'!F52</f>
        <v>62.967498530000007</v>
      </c>
      <c r="G52" s="18">
        <f ca="1">'DG - HG907- internat - mii.lei'!G52+'DG - HG907- Sala Fest- mii.'!G52</f>
        <v>394.37538553000002</v>
      </c>
      <c r="H52" s="18">
        <f ca="1">'DG - HG907- internat - mii.lei'!H52+'DG - HG907- Sala Fest- mii.'!H52</f>
        <v>87.30527440228461</v>
      </c>
      <c r="I52" s="39"/>
      <c r="J52" s="29">
        <v>291783.62700000004</v>
      </c>
    </row>
    <row r="53" spans="2:11" ht="26.25" thickBot="1">
      <c r="B53" s="23">
        <v>4.2</v>
      </c>
      <c r="C53" s="27" t="s">
        <v>71</v>
      </c>
      <c r="D53" s="18">
        <f ca="1">'DG - HG907- internat - mii.lei'!D53+'DG - HG907- Sala Fest- mii.'!D53</f>
        <v>43.241583263999999</v>
      </c>
      <c r="E53" s="18">
        <f ca="1">'DG - HG907- internat - mii.lei'!E53+'DG - HG907- Sala Fest- mii.'!E53</f>
        <v>9.5726519224298237</v>
      </c>
      <c r="F53" s="18">
        <f ca="1">'DG - HG907- internat - mii.lei'!F53+'DG - HG907- Sala Fest- mii.'!F53</f>
        <v>8.2159008201599999</v>
      </c>
      <c r="G53" s="18">
        <f ca="1">'DG - HG907- internat - mii.lei'!G53+'DG - HG907- Sala Fest- mii.'!G53</f>
        <v>51.457484084160001</v>
      </c>
      <c r="H53" s="18">
        <f ca="1">'DG - HG907- internat - mii.lei'!H53+'DG - HG907- Sala Fest- mii.'!H53</f>
        <v>11.391455787691491</v>
      </c>
      <c r="I53" s="39"/>
      <c r="J53" s="47">
        <v>37263.0962</v>
      </c>
    </row>
    <row r="54" spans="2:11" ht="26.25" thickBot="1">
      <c r="B54" s="23">
        <v>4.3</v>
      </c>
      <c r="C54" s="27" t="s">
        <v>72</v>
      </c>
      <c r="D54" s="18">
        <f ca="1">'DG - HG907- internat - mii.lei'!D54+'DG - HG907- Sala Fest- mii.'!D54</f>
        <v>1364.5512570000001</v>
      </c>
      <c r="E54" s="18">
        <f ca="1">'DG - HG907- internat - mii.lei'!E54+'DG - HG907- Sala Fest- mii.'!E54</f>
        <v>302.07899960152309</v>
      </c>
      <c r="F54" s="18">
        <f ca="1">'DG - HG907- internat - mii.lei'!F54+'DG - HG907- Sala Fest- mii.'!F54</f>
        <v>259.26473883</v>
      </c>
      <c r="G54" s="18">
        <f ca="1">'DG - HG907- internat - mii.lei'!G54+'DG - HG907- Sala Fest- mii.'!G54</f>
        <v>1623.81599583</v>
      </c>
      <c r="H54" s="18">
        <f ca="1">'DG - HG907- internat - mii.lei'!H54+'DG - HG907- Sala Fest- mii.'!H54</f>
        <v>359.47400952581245</v>
      </c>
      <c r="I54" s="39"/>
      <c r="J54" s="28">
        <v>1065626.9038</v>
      </c>
    </row>
    <row r="55" spans="2:11" ht="39" thickBot="1">
      <c r="B55" s="23">
        <v>4.4000000000000004</v>
      </c>
      <c r="C55" s="27" t="s">
        <v>73</v>
      </c>
      <c r="D55" s="18">
        <f ca="1">'DG - HG907- internat - mii.lei'!D55+'DG - HG907- Sala Fest- mii.'!D55</f>
        <v>0</v>
      </c>
      <c r="E55" s="18">
        <f ca="1">'DG - HG907- internat - mii.lei'!E55+'DG - HG907- Sala Fest- mii.'!E55</f>
        <v>0</v>
      </c>
      <c r="F55" s="18">
        <f ca="1">'DG - HG907- internat - mii.lei'!F55+'DG - HG907- Sala Fest- mii.'!F55</f>
        <v>0</v>
      </c>
      <c r="G55" s="18">
        <f ca="1">'DG - HG907- internat - mii.lei'!G55+'DG - HG907- Sala Fest- mii.'!G55</f>
        <v>0</v>
      </c>
      <c r="H55" s="18">
        <f ca="1">'DG - HG907- internat - mii.lei'!H55+'DG - HG907- Sala Fest- mii.'!H55</f>
        <v>0</v>
      </c>
      <c r="I55" s="39"/>
    </row>
    <row r="56" spans="2:11" ht="15.75" thickBot="1">
      <c r="B56" s="23">
        <v>4.5</v>
      </c>
      <c r="C56" s="27" t="s">
        <v>74</v>
      </c>
      <c r="D56" s="18">
        <f ca="1">'DG - HG907- internat - mii.lei'!D56+'DG - HG907- Sala Fest- mii.'!D56</f>
        <v>0</v>
      </c>
      <c r="E56" s="18">
        <f ca="1">'DG - HG907- internat - mii.lei'!E56+'DG - HG907- Sala Fest- mii.'!E56</f>
        <v>0</v>
      </c>
      <c r="F56" s="18">
        <f ca="1">'DG - HG907- internat - mii.lei'!F56+'DG - HG907- Sala Fest- mii.'!F56</f>
        <v>0</v>
      </c>
      <c r="G56" s="18">
        <f ca="1">'DG - HG907- internat - mii.lei'!G56+'DG - HG907- Sala Fest- mii.'!G56</f>
        <v>0</v>
      </c>
      <c r="H56" s="18">
        <f ca="1">'DG - HG907- internat - mii.lei'!H56+'DG - HG907- Sala Fest- mii.'!H56</f>
        <v>0</v>
      </c>
      <c r="I56" s="39"/>
    </row>
    <row r="57" spans="2:11" ht="15.75" thickBot="1">
      <c r="B57" s="23">
        <v>4.5999999999999996</v>
      </c>
      <c r="C57" s="27" t="s">
        <v>75</v>
      </c>
      <c r="D57" s="18">
        <f ca="1">'DG - HG907- internat - mii.lei'!D57+'DG - HG907- Sala Fest- mii.'!D57</f>
        <v>0</v>
      </c>
      <c r="E57" s="18">
        <f ca="1">'DG - HG907- internat - mii.lei'!E57+'DG - HG907- Sala Fest- mii.'!E57</f>
        <v>0</v>
      </c>
      <c r="F57" s="18">
        <f ca="1">'DG - HG907- internat - mii.lei'!F57+'DG - HG907- Sala Fest- mii.'!F57</f>
        <v>0</v>
      </c>
      <c r="G57" s="18">
        <f ca="1">'DG - HG907- internat - mii.lei'!G57+'DG - HG907- Sala Fest- mii.'!G57</f>
        <v>0</v>
      </c>
      <c r="H57" s="18">
        <f ca="1">'DG - HG907- internat - mii.lei'!H57+'DG - HG907- Sala Fest- mii.'!H57</f>
        <v>0</v>
      </c>
      <c r="I57" s="39"/>
    </row>
    <row r="58" spans="2:11" ht="15.75" thickBot="1">
      <c r="B58" s="59" t="s">
        <v>76</v>
      </c>
      <c r="C58" s="60"/>
      <c r="D58" s="19">
        <f>D50+D53+D54+D55+D56+D57</f>
        <v>5035.6897189209594</v>
      </c>
      <c r="E58" s="19">
        <f>D58/$E$8</f>
        <v>1114.7812182150358</v>
      </c>
      <c r="F58" s="19">
        <f>F50+F53+F54+F55+F56+F57</f>
        <v>956.7810465949824</v>
      </c>
      <c r="G58" s="19">
        <f>D58+F58</f>
        <v>5992.4707655159418</v>
      </c>
      <c r="H58" s="19">
        <f>G58/$E$8</f>
        <v>1326.5896496758926</v>
      </c>
      <c r="I58" s="40"/>
    </row>
    <row r="59" spans="2:11" s="7" customFormat="1" ht="15.75" thickBot="1">
      <c r="B59" s="61" t="s">
        <v>77</v>
      </c>
      <c r="C59" s="62"/>
      <c r="D59" s="62"/>
      <c r="E59" s="62"/>
      <c r="F59" s="62"/>
      <c r="G59" s="62"/>
      <c r="H59" s="63"/>
      <c r="I59" s="41"/>
    </row>
    <row r="60" spans="2:11" ht="15.75" thickBot="1">
      <c r="B60" s="23">
        <v>5.0999999999999996</v>
      </c>
      <c r="C60" s="24" t="s">
        <v>78</v>
      </c>
      <c r="D60" s="21">
        <f>D61+D62</f>
        <v>125.892242973024</v>
      </c>
      <c r="E60" s="21">
        <f>D60/$E$8</f>
        <v>27.869530455375898</v>
      </c>
      <c r="F60" s="21">
        <f>F61+F62</f>
        <v>23.919526164874561</v>
      </c>
      <c r="G60" s="21">
        <f t="shared" ref="G60:G71" si="0">D60+F60</f>
        <v>149.81176913789855</v>
      </c>
      <c r="H60" s="21">
        <f>G60/$E$8</f>
        <v>33.164741241897318</v>
      </c>
      <c r="I60" s="40"/>
      <c r="J60" s="6"/>
      <c r="K60" s="31">
        <v>2.5000000000000001E-2</v>
      </c>
    </row>
    <row r="61" spans="2:11" ht="26.25" thickBot="1">
      <c r="B61" s="16" t="s">
        <v>79</v>
      </c>
      <c r="C61" s="25" t="s">
        <v>80</v>
      </c>
      <c r="D61" s="18">
        <f>2.5%*D58</f>
        <v>125.892242973024</v>
      </c>
      <c r="E61" s="18">
        <f>D61/$E$8</f>
        <v>27.869530455375898</v>
      </c>
      <c r="F61" s="18">
        <f>D61*$H$7</f>
        <v>23.919526164874561</v>
      </c>
      <c r="G61" s="18">
        <f t="shared" si="0"/>
        <v>149.81176913789855</v>
      </c>
      <c r="H61" s="18">
        <f>G61/$E$8</f>
        <v>33.164741241897318</v>
      </c>
      <c r="I61" s="39"/>
      <c r="K61" s="31"/>
    </row>
    <row r="62" spans="2:11" ht="15.75" thickBot="1">
      <c r="B62" s="16" t="s">
        <v>81</v>
      </c>
      <c r="C62" s="26" t="s">
        <v>82</v>
      </c>
      <c r="D62" s="3">
        <v>0</v>
      </c>
      <c r="E62" s="18">
        <f>D62/$E$8</f>
        <v>0</v>
      </c>
      <c r="F62" s="18">
        <f>D62*$H$7</f>
        <v>0</v>
      </c>
      <c r="G62" s="18">
        <f t="shared" si="0"/>
        <v>0</v>
      </c>
      <c r="H62" s="18">
        <f>G62/$E$8</f>
        <v>0</v>
      </c>
      <c r="I62" s="39"/>
      <c r="K62" s="31"/>
    </row>
    <row r="63" spans="2:11" ht="15.75" thickBot="1">
      <c r="B63" s="16">
        <v>5.2</v>
      </c>
      <c r="C63" s="20" t="s">
        <v>83</v>
      </c>
      <c r="D63" s="33">
        <f>SUM(D64:D68)</f>
        <v>53.446124356039611</v>
      </c>
      <c r="E63" s="18">
        <f>D63/$E$8</f>
        <v>11.83169316303011</v>
      </c>
      <c r="F63" s="33">
        <v>0</v>
      </c>
      <c r="G63" s="18">
        <f t="shared" si="0"/>
        <v>53.446124356039611</v>
      </c>
      <c r="H63" s="18">
        <f>G63/$E$8</f>
        <v>11.83169316303011</v>
      </c>
      <c r="I63" s="39"/>
      <c r="J63" s="6"/>
      <c r="K63" s="31">
        <v>1.10855615244077E-2</v>
      </c>
    </row>
    <row r="64" spans="2:11" ht="26.25" thickBot="1">
      <c r="B64" s="16" t="s">
        <v>96</v>
      </c>
      <c r="C64" s="17" t="s">
        <v>101</v>
      </c>
      <c r="D64" s="33">
        <v>0</v>
      </c>
      <c r="E64" s="18">
        <f>D64/$E$8</f>
        <v>0</v>
      </c>
      <c r="F64" s="33">
        <v>0</v>
      </c>
      <c r="G64" s="18">
        <f t="shared" si="0"/>
        <v>0</v>
      </c>
      <c r="H64" s="18">
        <f>G64/$E$8</f>
        <v>0</v>
      </c>
      <c r="I64" s="39"/>
      <c r="J64" s="6"/>
      <c r="K64" s="31"/>
    </row>
    <row r="65" spans="2:11" ht="26.25" thickBot="1">
      <c r="B65" s="16" t="s">
        <v>97</v>
      </c>
      <c r="C65" s="17" t="s">
        <v>102</v>
      </c>
      <c r="D65" s="18">
        <f ca="1">'DG - HG907- internat - mii.lei'!D65+'DG - HG907- Sala Fest- mii.'!D65</f>
        <v>20.657329252745278</v>
      </c>
      <c r="E65" s="18">
        <f ca="1">'DG - HG907- internat - mii.lei'!E65+'DG - HG907- Sala Fest- mii.'!E65</f>
        <v>4.5730384425629325</v>
      </c>
      <c r="F65" s="18">
        <f ca="1">'DG - HG907- internat - mii.lei'!F65+'DG - HG907- Sala Fest- mii.'!F65</f>
        <v>0</v>
      </c>
      <c r="G65" s="18">
        <f ca="1">'DG - HG907- internat - mii.lei'!G65+'DG - HG907- Sala Fest- mii.'!G65</f>
        <v>20.657329252745278</v>
      </c>
      <c r="H65" s="18">
        <f ca="1">'DG - HG907- internat - mii.lei'!H65+'DG - HG907- Sala Fest- mii.'!H65</f>
        <v>4.5730384425629325</v>
      </c>
      <c r="I65" s="39"/>
      <c r="J65" s="6"/>
      <c r="K65" s="31"/>
    </row>
    <row r="66" spans="2:11" ht="39" thickBot="1">
      <c r="B66" s="16" t="s">
        <v>98</v>
      </c>
      <c r="C66" s="17" t="s">
        <v>103</v>
      </c>
      <c r="D66" s="18">
        <f ca="1">'DG - HG907- internat - mii.lei'!D66+'DG - HG907- Sala Fest- mii.'!D66</f>
        <v>4.1314658505490556</v>
      </c>
      <c r="E66" s="18">
        <f ca="1">'DG - HG907- internat - mii.lei'!E66+'DG - HG907- Sala Fest- mii.'!E66</f>
        <v>0.91460768851258645</v>
      </c>
      <c r="F66" s="18">
        <f ca="1">'DG - HG907- internat - mii.lei'!F66+'DG - HG907- Sala Fest- mii.'!F66</f>
        <v>0</v>
      </c>
      <c r="G66" s="18">
        <f ca="1">'DG - HG907- internat - mii.lei'!G66+'DG - HG907- Sala Fest- mii.'!G66</f>
        <v>4.1314658505490556</v>
      </c>
      <c r="H66" s="18">
        <f ca="1">'DG - HG907- internat - mii.lei'!H66+'DG - HG907- Sala Fest- mii.'!H66</f>
        <v>0.91460768851258645</v>
      </c>
      <c r="I66" s="39"/>
      <c r="J66" s="6"/>
      <c r="K66" s="31"/>
    </row>
    <row r="67" spans="2:11" ht="26.25" thickBot="1">
      <c r="B67" s="16" t="s">
        <v>99</v>
      </c>
      <c r="C67" s="17" t="s">
        <v>104</v>
      </c>
      <c r="D67" s="18">
        <f ca="1">'DG - HG907- internat - mii.lei'!D67+'DG - HG907- Sala Fest- mii.'!D67</f>
        <v>20.657329252745278</v>
      </c>
      <c r="E67" s="18">
        <f ca="1">'DG - HG907- internat - mii.lei'!E67+'DG - HG907- Sala Fest- mii.'!E67</f>
        <v>4.5730384425629325</v>
      </c>
      <c r="F67" s="18">
        <f ca="1">'DG - HG907- internat - mii.lei'!F67+'DG - HG907- Sala Fest- mii.'!F67</f>
        <v>0</v>
      </c>
      <c r="G67" s="18">
        <f ca="1">'DG - HG907- internat - mii.lei'!G67+'DG - HG907- Sala Fest- mii.'!G67</f>
        <v>20.657329252745278</v>
      </c>
      <c r="H67" s="18">
        <f ca="1">'DG - HG907- internat - mii.lei'!H67+'DG - HG907- Sala Fest- mii.'!H67</f>
        <v>4.5730384425629325</v>
      </c>
      <c r="I67" s="39"/>
      <c r="J67" s="6"/>
      <c r="K67" s="31"/>
    </row>
    <row r="68" spans="2:11" ht="26.25" thickBot="1">
      <c r="B68" s="16" t="s">
        <v>100</v>
      </c>
      <c r="C68" s="17" t="s">
        <v>105</v>
      </c>
      <c r="D68" s="18">
        <f ca="1">'DG - HG907- internat - mii.lei'!D68+'DG - HG907- Sala Fest- mii.'!D68</f>
        <v>8</v>
      </c>
      <c r="E68" s="18">
        <f ca="1">'DG - HG907- internat - mii.lei'!E68+'DG - HG907- Sala Fest- mii.'!E68</f>
        <v>1.7710085893916585</v>
      </c>
      <c r="F68" s="18">
        <f ca="1">'DG - HG907- internat - mii.lei'!F68+'DG - HG907- Sala Fest- mii.'!F68</f>
        <v>0</v>
      </c>
      <c r="G68" s="18">
        <f ca="1">'DG - HG907- internat - mii.lei'!G68+'DG - HG907- Sala Fest- mii.'!G68</f>
        <v>8</v>
      </c>
      <c r="H68" s="18">
        <f ca="1">'DG - HG907- internat - mii.lei'!H68+'DG - HG907- Sala Fest- mii.'!H68</f>
        <v>1.7710085893916585</v>
      </c>
      <c r="I68" s="39"/>
      <c r="J68" s="6"/>
      <c r="K68" s="31"/>
    </row>
    <row r="69" spans="2:11" ht="15.75" thickBot="1">
      <c r="B69" s="16">
        <v>5.3</v>
      </c>
      <c r="C69" s="20" t="s">
        <v>84</v>
      </c>
      <c r="D69" s="18">
        <f ca="1">'DG - HG907- internat - mii.lei'!D69+'DG - HG907- Sala Fest- mii.'!D69</f>
        <v>503.56897189209593</v>
      </c>
      <c r="E69" s="18">
        <f ca="1">'DG - HG907- internat - mii.lei'!E69+'DG - HG907- Sala Fest- mii.'!E69</f>
        <v>111.47812182150358</v>
      </c>
      <c r="F69" s="18">
        <f ca="1">'DG - HG907- internat - mii.lei'!F69+'DG - HG907- Sala Fest- mii.'!F69</f>
        <v>95.678104659498231</v>
      </c>
      <c r="G69" s="18">
        <f ca="1">'DG - HG907- internat - mii.lei'!G69+'DG - HG907- Sala Fest- mii.'!G69</f>
        <v>599.2470765515942</v>
      </c>
      <c r="H69" s="18">
        <f ca="1">'DG - HG907- internat - mii.lei'!H69+'DG - HG907- Sala Fest- mii.'!H69</f>
        <v>132.65896496758924</v>
      </c>
      <c r="I69" s="39"/>
      <c r="J69" s="6"/>
      <c r="K69" s="31">
        <v>0.1</v>
      </c>
    </row>
    <row r="70" spans="2:11" ht="15.75" thickBot="1">
      <c r="B70" s="16">
        <v>5.4</v>
      </c>
      <c r="C70" s="20" t="s">
        <v>85</v>
      </c>
      <c r="D70" s="18">
        <f ca="1">'DG - HG907- internat - mii.lei'!D70+'DG - HG907- Sala Fest- mii.'!D70</f>
        <v>5.4418453179854396</v>
      </c>
      <c r="E70" s="18">
        <f ca="1">'DG - HG907- internat - mii.lei'!E70+'DG - HG907- Sala Fest- mii.'!E70</f>
        <v>1.2046943500366245</v>
      </c>
      <c r="F70" s="18">
        <f ca="1">'DG - HG907- internat - mii.lei'!F70+'DG - HG907- Sala Fest- mii.'!F70</f>
        <v>1.0339506104172336</v>
      </c>
      <c r="G70" s="18">
        <f ca="1">'DG - HG907- internat - mii.lei'!G70+'DG - HG907- Sala Fest- mii.'!G70</f>
        <v>6.4757959284026736</v>
      </c>
      <c r="H70" s="18">
        <f ca="1">'DG - HG907- internat - mii.lei'!H70+'DG - HG907- Sala Fest- mii.'!H70</f>
        <v>1.4335862765435832</v>
      </c>
      <c r="I70" s="39"/>
      <c r="J70" s="6"/>
      <c r="K70" s="31">
        <v>1.4894823185043452E-3</v>
      </c>
    </row>
    <row r="71" spans="2:11" ht="15.75" thickBot="1">
      <c r="B71" s="59" t="s">
        <v>86</v>
      </c>
      <c r="C71" s="60"/>
      <c r="D71" s="19">
        <f ca="1">D60+D63+D69+D70</f>
        <v>688.34918453914497</v>
      </c>
      <c r="E71" s="19">
        <f ca="1">D71/$E$8</f>
        <v>152.3840397899462</v>
      </c>
      <c r="F71" s="19">
        <f ca="1">F60+F63+F69+F70</f>
        <v>120.63158143479004</v>
      </c>
      <c r="G71" s="19">
        <f t="shared" si="0"/>
        <v>808.98076597393504</v>
      </c>
      <c r="H71" s="19">
        <f ca="1">G71/$E$8</f>
        <v>179.08898564906028</v>
      </c>
      <c r="I71" s="40"/>
    </row>
    <row r="72" spans="2:11" ht="15.75" thickBot="1">
      <c r="B72" s="61" t="s">
        <v>87</v>
      </c>
      <c r="C72" s="62"/>
      <c r="D72" s="62"/>
      <c r="E72" s="62"/>
      <c r="F72" s="62"/>
      <c r="G72" s="62"/>
      <c r="H72" s="63"/>
      <c r="I72" s="41"/>
    </row>
    <row r="73" spans="2:11" ht="15.75" thickBot="1">
      <c r="B73" s="16">
        <v>6.1</v>
      </c>
      <c r="C73" s="20" t="s">
        <v>88</v>
      </c>
      <c r="D73" s="18">
        <f ca="1">'DG - HG907- internat - mii.lei'!D73+'DG - HG907- Sala Fest- mii.'!D73</f>
        <v>15</v>
      </c>
      <c r="E73" s="18">
        <f ca="1">'DG - HG907- internat - mii.lei'!E73+'DG - HG907- Sala Fest- mii.'!E73</f>
        <v>3.3206411051093596</v>
      </c>
      <c r="F73" s="18">
        <f ca="1">'DG - HG907- internat - mii.lei'!F73+'DG - HG907- Sala Fest- mii.'!F73</f>
        <v>2.8499999999999996</v>
      </c>
      <c r="G73" s="18">
        <f ca="1">'DG - HG907- internat - mii.lei'!G73+'DG - HG907- Sala Fest- mii.'!G73</f>
        <v>17.850000000000001</v>
      </c>
      <c r="H73" s="18">
        <f ca="1">'DG - HG907- internat - mii.lei'!H73+'DG - HG907- Sala Fest- mii.'!H73</f>
        <v>3.9515629150801379</v>
      </c>
      <c r="I73" s="39"/>
      <c r="J73" s="44">
        <v>10000</v>
      </c>
    </row>
    <row r="74" spans="2:11" ht="15.75" thickBot="1">
      <c r="B74" s="16">
        <v>6.2</v>
      </c>
      <c r="C74" s="20" t="s">
        <v>89</v>
      </c>
      <c r="D74" s="18">
        <f ca="1">'DG - HG907- internat - mii.lei'!D74+'DG - HG907- Sala Fest- mii.'!D74</f>
        <v>15</v>
      </c>
      <c r="E74" s="18">
        <f ca="1">'DG - HG907- internat - mii.lei'!E74+'DG - HG907- Sala Fest- mii.'!E74</f>
        <v>3.3206411051093596</v>
      </c>
      <c r="F74" s="18">
        <f ca="1">'DG - HG907- internat - mii.lei'!F74+'DG - HG907- Sala Fest- mii.'!F74</f>
        <v>2.8499999999999996</v>
      </c>
      <c r="G74" s="18">
        <f ca="1">'DG - HG907- internat - mii.lei'!G74+'DG - HG907- Sala Fest- mii.'!G74</f>
        <v>17.850000000000001</v>
      </c>
      <c r="H74" s="18">
        <f ca="1">'DG - HG907- internat - mii.lei'!H74+'DG - HG907- Sala Fest- mii.'!H74</f>
        <v>3.9515629150801379</v>
      </c>
      <c r="I74" s="39"/>
      <c r="J74" s="44">
        <v>10000</v>
      </c>
    </row>
    <row r="75" spans="2:11" s="7" customFormat="1" ht="15.75" thickBot="1">
      <c r="B75" s="59" t="s">
        <v>90</v>
      </c>
      <c r="C75" s="60"/>
      <c r="D75" s="19">
        <f>D73+D74</f>
        <v>30</v>
      </c>
      <c r="E75" s="19">
        <f>D75/$E$8</f>
        <v>6.6412822102187201</v>
      </c>
      <c r="F75" s="19">
        <f>D75*$H$7</f>
        <v>5.7</v>
      </c>
      <c r="G75" s="19">
        <f>D75+F75</f>
        <v>35.700000000000003</v>
      </c>
      <c r="H75" s="19">
        <f>G75/$E$8</f>
        <v>7.9031258301602767</v>
      </c>
      <c r="I75" s="40"/>
    </row>
    <row r="76" spans="2:11" ht="15.75" thickBot="1">
      <c r="B76" s="64" t="s">
        <v>91</v>
      </c>
      <c r="C76" s="65"/>
      <c r="D76" s="22">
        <f>D17+D20+D48+D58+D71+D75</f>
        <v>6027.6449408115477</v>
      </c>
      <c r="E76" s="22">
        <f>D76/$E$8</f>
        <v>1334.3763704975534</v>
      </c>
      <c r="F76" s="22">
        <f>F17+F20+F48+F58+F71+F75</f>
        <v>1135.0977751265466</v>
      </c>
      <c r="G76" s="22">
        <f>D76+F76</f>
        <v>7162.7427159380941</v>
      </c>
      <c r="H76" s="22">
        <f>G76/$E$8</f>
        <v>1585.6598591911127</v>
      </c>
      <c r="I76" s="40"/>
    </row>
    <row r="77" spans="2:11" ht="15.75" thickBot="1">
      <c r="B77" s="68" t="s">
        <v>92</v>
      </c>
      <c r="C77" s="69"/>
      <c r="D77" s="4">
        <f>D14+D15+D16+D19+D50+D53+D61</f>
        <v>3797.030704893984</v>
      </c>
      <c r="E77" s="4">
        <f>D77/$E$8</f>
        <v>840.57174906888872</v>
      </c>
      <c r="F77" s="4">
        <f>F14+F15+F16+F19+F50+F53+F61</f>
        <v>721.43583392985693</v>
      </c>
      <c r="G77" s="4">
        <f>D77+F77</f>
        <v>4518.4665388238409</v>
      </c>
      <c r="H77" s="4">
        <f>G77/$E$8</f>
        <v>1000.2803813919776</v>
      </c>
      <c r="I77" s="42"/>
    </row>
    <row r="79" spans="2:11">
      <c r="D79" s="5">
        <f ca="1">'DG - HG907- internat - mii.lei'!D76+'DG - HG907- Sala Fest- mii.'!D76</f>
        <v>6027.6449408115477</v>
      </c>
      <c r="E79" s="5">
        <f ca="1">'DG - HG907- internat - mii.lei'!E76+'DG - HG907- Sala Fest- mii.'!E76</f>
        <v>1334.3763704975534</v>
      </c>
      <c r="F79" s="5">
        <f ca="1">'DG - HG907- internat - mii.lei'!F76+'DG - HG907- Sala Fest- mii.'!F76</f>
        <v>1135.0977751265464</v>
      </c>
      <c r="G79" s="5">
        <f ca="1">'DG - HG907- internat - mii.lei'!G76+'DG - HG907- Sala Fest- mii.'!G76</f>
        <v>7162.7427159380941</v>
      </c>
      <c r="H79" s="5">
        <f ca="1">'DG - HG907- internat - mii.lei'!H76+'DG - HG907- Sala Fest- mii.'!H76</f>
        <v>1585.6598591911127</v>
      </c>
    </row>
    <row r="80" spans="2:11">
      <c r="D80" s="5">
        <f>D76-D79</f>
        <v>0</v>
      </c>
      <c r="E80" s="5">
        <f>E76-E79</f>
        <v>0</v>
      </c>
      <c r="F80" s="5">
        <f>F76-F79</f>
        <v>0</v>
      </c>
      <c r="G80" s="5">
        <f>G76-G79</f>
        <v>0</v>
      </c>
      <c r="H80" s="5">
        <f>H76-H79</f>
        <v>0</v>
      </c>
    </row>
  </sheetData>
  <mergeCells count="24">
    <mergeCell ref="B2:D2"/>
    <mergeCell ref="B3:D3"/>
    <mergeCell ref="B4:H4"/>
    <mergeCell ref="B5:H5"/>
    <mergeCell ref="B6:H6"/>
    <mergeCell ref="G8:H8"/>
    <mergeCell ref="B77:C77"/>
    <mergeCell ref="B18:H18"/>
    <mergeCell ref="B20:C20"/>
    <mergeCell ref="B21:H21"/>
    <mergeCell ref="B48:C48"/>
    <mergeCell ref="B49:H49"/>
    <mergeCell ref="B58:C58"/>
    <mergeCell ref="B59:H59"/>
    <mergeCell ref="B71:C71"/>
    <mergeCell ref="B72:H72"/>
    <mergeCell ref="B75:C75"/>
    <mergeCell ref="B76:C76"/>
    <mergeCell ref="G9:H9"/>
    <mergeCell ref="B12:H12"/>
    <mergeCell ref="B17:C17"/>
    <mergeCell ref="B9:B10"/>
    <mergeCell ref="C9:C10"/>
    <mergeCell ref="D9:E9"/>
  </mergeCells>
  <phoneticPr fontId="0" type="noConversion"/>
  <pageMargins left="0.7" right="0.7" top="0.75" bottom="0.75" header="0.3" footer="0.3"/>
  <pageSetup paperSize="9" scale="67" fitToHeight="2" orientation="portrait" horizontalDpi="1200" verticalDpi="1200" r:id="rId1"/>
  <rowBreaks count="1" manualBreakCount="1">
    <brk id="5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B2:K77"/>
  <sheetViews>
    <sheetView view="pageBreakPreview" topLeftCell="A7" zoomScale="85" zoomScaleNormal="85" zoomScaleSheetLayoutView="85" workbookViewId="0">
      <selection activeCell="A79" sqref="A79:IV83"/>
    </sheetView>
  </sheetViews>
  <sheetFormatPr defaultRowHeight="15"/>
  <cols>
    <col min="2" max="2" width="9.140625" style="7"/>
    <col min="3" max="3" width="42.140625" style="7" customWidth="1"/>
    <col min="4" max="4" width="11.5703125" style="5" bestFit="1" customWidth="1"/>
    <col min="5" max="5" width="11.140625" style="5" customWidth="1"/>
    <col min="6" max="6" width="11.85546875" style="5" customWidth="1"/>
    <col min="7" max="7" width="11.5703125" style="5" bestFit="1" customWidth="1"/>
    <col min="8" max="8" width="10.85546875" style="5" bestFit="1" customWidth="1"/>
    <col min="9" max="9" width="10.85546875" style="43" customWidth="1"/>
    <col min="10" max="10" width="13.28515625" bestFit="1" customWidth="1"/>
  </cols>
  <sheetData>
    <row r="2" spans="2:9" s="7" customFormat="1">
      <c r="B2" s="70" t="s">
        <v>93</v>
      </c>
      <c r="C2" s="70"/>
      <c r="D2" s="70"/>
      <c r="E2" s="2"/>
      <c r="F2" s="2"/>
      <c r="G2" s="2"/>
      <c r="H2" s="2"/>
      <c r="I2" s="34"/>
    </row>
    <row r="3" spans="2:9" s="7" customFormat="1">
      <c r="B3" s="70" t="s">
        <v>107</v>
      </c>
      <c r="C3" s="70"/>
      <c r="D3" s="70"/>
      <c r="E3" s="2"/>
      <c r="F3" s="2"/>
      <c r="G3" s="2"/>
      <c r="H3" s="2"/>
      <c r="I3" s="34"/>
    </row>
    <row r="4" spans="2:9" s="7" customFormat="1">
      <c r="B4" s="71" t="s">
        <v>0</v>
      </c>
      <c r="C4" s="71"/>
      <c r="D4" s="71"/>
      <c r="E4" s="71"/>
      <c r="F4" s="71"/>
      <c r="G4" s="71"/>
      <c r="H4" s="71"/>
      <c r="I4" s="35"/>
    </row>
    <row r="5" spans="2:9" s="7" customFormat="1">
      <c r="B5" s="72" t="s">
        <v>1</v>
      </c>
      <c r="C5" s="72"/>
      <c r="D5" s="72"/>
      <c r="E5" s="72"/>
      <c r="F5" s="72"/>
      <c r="G5" s="72"/>
      <c r="H5" s="72"/>
      <c r="I5" s="45"/>
    </row>
    <row r="6" spans="2:9" s="7" customFormat="1" ht="48" customHeight="1">
      <c r="B6" s="73" t="s">
        <v>108</v>
      </c>
      <c r="C6" s="73"/>
      <c r="D6" s="73"/>
      <c r="E6" s="73"/>
      <c r="F6" s="73"/>
      <c r="G6" s="73"/>
      <c r="H6" s="73"/>
      <c r="I6" s="36"/>
    </row>
    <row r="7" spans="2:9" s="7" customFormat="1">
      <c r="B7" s="1"/>
      <c r="C7" s="1"/>
      <c r="D7" s="2"/>
      <c r="E7" s="2"/>
      <c r="F7" s="2"/>
      <c r="G7" s="8" t="s">
        <v>2</v>
      </c>
      <c r="H7" s="9">
        <v>0.19</v>
      </c>
      <c r="I7" s="46"/>
    </row>
    <row r="8" spans="2:9" s="7" customFormat="1" ht="15.75" thickBot="1">
      <c r="B8" s="1"/>
      <c r="C8" s="1"/>
      <c r="D8" s="10" t="s">
        <v>3</v>
      </c>
      <c r="E8" s="32">
        <v>4.5171999999999999</v>
      </c>
      <c r="F8" s="11" t="s">
        <v>4</v>
      </c>
      <c r="G8" s="74" t="s">
        <v>106</v>
      </c>
      <c r="H8" s="74"/>
      <c r="I8" s="34"/>
    </row>
    <row r="9" spans="2:9" s="7" customFormat="1" ht="15.75" thickBot="1">
      <c r="B9" s="75" t="s">
        <v>5</v>
      </c>
      <c r="C9" s="75" t="s">
        <v>6</v>
      </c>
      <c r="D9" s="66" t="s">
        <v>7</v>
      </c>
      <c r="E9" s="67"/>
      <c r="F9" s="12" t="s">
        <v>8</v>
      </c>
      <c r="G9" s="66" t="s">
        <v>9</v>
      </c>
      <c r="H9" s="67"/>
      <c r="I9" s="37"/>
    </row>
    <row r="10" spans="2:9" s="7" customFormat="1" ht="15.75" thickBot="1">
      <c r="B10" s="76"/>
      <c r="C10" s="77"/>
      <c r="D10" s="13" t="s">
        <v>10</v>
      </c>
      <c r="E10" s="13" t="s">
        <v>11</v>
      </c>
      <c r="F10" s="13" t="s">
        <v>10</v>
      </c>
      <c r="G10" s="13" t="s">
        <v>10</v>
      </c>
      <c r="H10" s="13" t="s">
        <v>11</v>
      </c>
      <c r="I10" s="37"/>
    </row>
    <row r="11" spans="2:9" s="7" customFormat="1" ht="15.75" thickBot="1">
      <c r="B11" s="14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38"/>
    </row>
    <row r="12" spans="2:9" s="7" customFormat="1" ht="15.75" thickBot="1">
      <c r="B12" s="61" t="s">
        <v>12</v>
      </c>
      <c r="C12" s="62"/>
      <c r="D12" s="62"/>
      <c r="E12" s="62"/>
      <c r="F12" s="62"/>
      <c r="G12" s="62"/>
      <c r="H12" s="63"/>
      <c r="I12" s="41"/>
    </row>
    <row r="13" spans="2:9" s="7" customFormat="1" ht="15.75" thickBot="1">
      <c r="B13" s="16">
        <v>1.1000000000000001</v>
      </c>
      <c r="C13" s="17" t="s">
        <v>13</v>
      </c>
      <c r="D13" s="18">
        <v>0</v>
      </c>
      <c r="E13" s="18">
        <f>D13/$E$8</f>
        <v>0</v>
      </c>
      <c r="F13" s="18">
        <f>D13*$H$7</f>
        <v>0</v>
      </c>
      <c r="G13" s="18">
        <f>D13+F13</f>
        <v>0</v>
      </c>
      <c r="H13" s="18">
        <f>G13/$E$8</f>
        <v>0</v>
      </c>
      <c r="I13" s="39"/>
    </row>
    <row r="14" spans="2:9" s="7" customFormat="1" ht="15.75" thickBot="1">
      <c r="B14" s="16">
        <v>1.2</v>
      </c>
      <c r="C14" s="17" t="s">
        <v>14</v>
      </c>
      <c r="D14" s="3">
        <v>0</v>
      </c>
      <c r="E14" s="18">
        <f>D14/$E$8</f>
        <v>0</v>
      </c>
      <c r="F14" s="18">
        <f>D14*$H$7</f>
        <v>0</v>
      </c>
      <c r="G14" s="18">
        <f>D14+F14</f>
        <v>0</v>
      </c>
      <c r="H14" s="18">
        <f>G14/$E$8</f>
        <v>0</v>
      </c>
      <c r="I14" s="39"/>
    </row>
    <row r="15" spans="2:9" s="7" customFormat="1" ht="26.25" thickBot="1">
      <c r="B15" s="16">
        <v>1.3</v>
      </c>
      <c r="C15" s="17" t="s">
        <v>15</v>
      </c>
      <c r="D15" s="18">
        <v>0</v>
      </c>
      <c r="E15" s="18">
        <f>D15/$E$8</f>
        <v>0</v>
      </c>
      <c r="F15" s="18">
        <f>D15*$H$7</f>
        <v>0</v>
      </c>
      <c r="G15" s="18">
        <f>D15+F15</f>
        <v>0</v>
      </c>
      <c r="H15" s="18">
        <f>G15/$E$8</f>
        <v>0</v>
      </c>
      <c r="I15" s="39"/>
    </row>
    <row r="16" spans="2:9" s="7" customFormat="1" ht="15.75" thickBot="1">
      <c r="B16" s="16">
        <v>1.4</v>
      </c>
      <c r="C16" s="17" t="s">
        <v>16</v>
      </c>
      <c r="D16" s="18">
        <v>0</v>
      </c>
      <c r="E16" s="18">
        <f>D16/$E$8</f>
        <v>0</v>
      </c>
      <c r="F16" s="18">
        <f>D16*$H$7</f>
        <v>0</v>
      </c>
      <c r="G16" s="18">
        <f>D16+F16</f>
        <v>0</v>
      </c>
      <c r="H16" s="18">
        <f>G16/$E$8</f>
        <v>0</v>
      </c>
      <c r="I16" s="39"/>
    </row>
    <row r="17" spans="2:11" s="7" customFormat="1" ht="15.75" thickBot="1">
      <c r="B17" s="59" t="s">
        <v>17</v>
      </c>
      <c r="C17" s="60"/>
      <c r="D17" s="19">
        <f>SUM(D13:D16)</f>
        <v>0</v>
      </c>
      <c r="E17" s="19">
        <f>SUM(E13:E16)</f>
        <v>0</v>
      </c>
      <c r="F17" s="19">
        <f>SUM(F13:F16)</f>
        <v>0</v>
      </c>
      <c r="G17" s="19">
        <f>SUM(G13:G16)</f>
        <v>0</v>
      </c>
      <c r="H17" s="19">
        <f>SUM(H13:H16)</f>
        <v>0</v>
      </c>
      <c r="I17" s="40"/>
    </row>
    <row r="18" spans="2:11" s="7" customFormat="1" ht="15.75" thickBot="1">
      <c r="B18" s="61" t="s">
        <v>18</v>
      </c>
      <c r="C18" s="62"/>
      <c r="D18" s="62"/>
      <c r="E18" s="62"/>
      <c r="F18" s="62"/>
      <c r="G18" s="62"/>
      <c r="H18" s="63"/>
      <c r="I18" s="41"/>
    </row>
    <row r="19" spans="2:11" s="7" customFormat="1" ht="15.75" thickBot="1">
      <c r="B19" s="16">
        <v>2.1</v>
      </c>
      <c r="C19" s="20" t="s">
        <v>19</v>
      </c>
      <c r="D19" s="18">
        <v>0</v>
      </c>
      <c r="E19" s="18">
        <f>D19/$E$8</f>
        <v>0</v>
      </c>
      <c r="F19" s="18">
        <f>D19*$H$7</f>
        <v>0</v>
      </c>
      <c r="G19" s="18">
        <f>D19+F19</f>
        <v>0</v>
      </c>
      <c r="H19" s="18">
        <f>G19/$E$8</f>
        <v>0</v>
      </c>
      <c r="I19" s="39"/>
    </row>
    <row r="20" spans="2:11" s="7" customFormat="1" ht="15.75" thickBot="1">
      <c r="B20" s="59" t="s">
        <v>20</v>
      </c>
      <c r="C20" s="60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40"/>
    </row>
    <row r="21" spans="2:11" ht="15.75" thickBot="1">
      <c r="B21" s="61" t="s">
        <v>21</v>
      </c>
      <c r="C21" s="62"/>
      <c r="D21" s="62"/>
      <c r="E21" s="62"/>
      <c r="F21" s="62"/>
      <c r="G21" s="62"/>
      <c r="H21" s="63"/>
      <c r="I21" s="41"/>
    </row>
    <row r="22" spans="2:11" ht="15.75" thickBot="1">
      <c r="B22" s="16">
        <v>3.1</v>
      </c>
      <c r="C22" s="20" t="s">
        <v>22</v>
      </c>
      <c r="D22" s="18">
        <v>0</v>
      </c>
      <c r="E22" s="18">
        <f>D22/$E$8</f>
        <v>0</v>
      </c>
      <c r="F22" s="18">
        <f>D22*$H$7</f>
        <v>0</v>
      </c>
      <c r="G22" s="18">
        <f t="shared" ref="G22:G47" si="0">D22+F22</f>
        <v>0</v>
      </c>
      <c r="H22" s="18">
        <f t="shared" ref="H22:H47" si="1">G22/$E$8</f>
        <v>0</v>
      </c>
      <c r="I22" s="39"/>
      <c r="J22" s="6"/>
      <c r="K22" s="30">
        <v>3.4258093325599939E-2</v>
      </c>
    </row>
    <row r="23" spans="2:11" ht="15.75" thickBot="1">
      <c r="B23" s="16" t="s">
        <v>23</v>
      </c>
      <c r="C23" s="20" t="s">
        <v>24</v>
      </c>
      <c r="D23" s="18">
        <v>0</v>
      </c>
      <c r="E23" s="18">
        <f t="shared" ref="E23:E77" si="2">D23/$E$8</f>
        <v>0</v>
      </c>
      <c r="F23" s="18">
        <f t="shared" ref="F23:F47" si="3">D23*$H$7</f>
        <v>0</v>
      </c>
      <c r="G23" s="18">
        <f t="shared" si="0"/>
        <v>0</v>
      </c>
      <c r="H23" s="18">
        <f t="shared" si="1"/>
        <v>0</v>
      </c>
      <c r="I23" s="39"/>
      <c r="K23" s="30"/>
    </row>
    <row r="24" spans="2:11" ht="15.75" thickBot="1">
      <c r="B24" s="16" t="s">
        <v>25</v>
      </c>
      <c r="C24" s="20" t="s">
        <v>26</v>
      </c>
      <c r="D24" s="18">
        <v>0</v>
      </c>
      <c r="E24" s="18">
        <f t="shared" si="2"/>
        <v>0</v>
      </c>
      <c r="F24" s="18">
        <f t="shared" si="3"/>
        <v>0</v>
      </c>
      <c r="G24" s="18">
        <f t="shared" si="0"/>
        <v>0</v>
      </c>
      <c r="H24" s="18">
        <f t="shared" si="1"/>
        <v>0</v>
      </c>
      <c r="I24" s="39"/>
      <c r="K24" s="30"/>
    </row>
    <row r="25" spans="2:11" ht="15.75" thickBot="1">
      <c r="B25" s="16" t="s">
        <v>27</v>
      </c>
      <c r="C25" s="20" t="s">
        <v>28</v>
      </c>
      <c r="D25" s="18">
        <v>0</v>
      </c>
      <c r="E25" s="18">
        <f t="shared" si="2"/>
        <v>0</v>
      </c>
      <c r="F25" s="18">
        <f t="shared" si="3"/>
        <v>0</v>
      </c>
      <c r="G25" s="18">
        <f t="shared" si="0"/>
        <v>0</v>
      </c>
      <c r="H25" s="18">
        <f t="shared" si="1"/>
        <v>0</v>
      </c>
      <c r="I25" s="39"/>
      <c r="K25" s="30"/>
    </row>
    <row r="26" spans="2:11" ht="15.75" thickBot="1">
      <c r="B26" s="16" t="s">
        <v>29</v>
      </c>
      <c r="C26" s="20" t="s">
        <v>30</v>
      </c>
      <c r="D26" s="18">
        <v>0</v>
      </c>
      <c r="E26" s="18">
        <f t="shared" si="2"/>
        <v>0</v>
      </c>
      <c r="F26" s="18">
        <f t="shared" si="3"/>
        <v>0</v>
      </c>
      <c r="G26" s="18">
        <f t="shared" si="0"/>
        <v>0</v>
      </c>
      <c r="H26" s="18">
        <f t="shared" si="1"/>
        <v>0</v>
      </c>
      <c r="I26" s="39"/>
      <c r="K26" s="30"/>
    </row>
    <row r="27" spans="2:11" ht="15.75" thickBot="1">
      <c r="B27" s="16" t="s">
        <v>31</v>
      </c>
      <c r="C27" s="20" t="s">
        <v>32</v>
      </c>
      <c r="D27" s="18">
        <v>0</v>
      </c>
      <c r="E27" s="18">
        <f t="shared" si="2"/>
        <v>0</v>
      </c>
      <c r="F27" s="18">
        <f t="shared" si="3"/>
        <v>0</v>
      </c>
      <c r="G27" s="18">
        <f t="shared" si="0"/>
        <v>0</v>
      </c>
      <c r="H27" s="18">
        <f t="shared" si="1"/>
        <v>0</v>
      </c>
      <c r="I27" s="39"/>
      <c r="K27" s="30"/>
    </row>
    <row r="28" spans="2:11" ht="26.25" thickBot="1">
      <c r="B28" s="16" t="s">
        <v>33</v>
      </c>
      <c r="C28" s="17" t="s">
        <v>34</v>
      </c>
      <c r="D28" s="18">
        <v>0</v>
      </c>
      <c r="E28" s="18">
        <f t="shared" si="2"/>
        <v>0</v>
      </c>
      <c r="F28" s="18">
        <f t="shared" si="3"/>
        <v>0</v>
      </c>
      <c r="G28" s="18">
        <f t="shared" si="0"/>
        <v>0</v>
      </c>
      <c r="H28" s="18">
        <f t="shared" si="1"/>
        <v>0</v>
      </c>
      <c r="I28" s="39"/>
      <c r="K28" s="30"/>
    </row>
    <row r="29" spans="2:11" ht="26.25" thickBot="1">
      <c r="B29" s="16">
        <v>3.2</v>
      </c>
      <c r="C29" s="17" t="s">
        <v>35</v>
      </c>
      <c r="D29" s="18">
        <v>5</v>
      </c>
      <c r="E29" s="18">
        <f t="shared" si="2"/>
        <v>1.1068803683697865</v>
      </c>
      <c r="F29" s="18">
        <f t="shared" si="3"/>
        <v>0.95</v>
      </c>
      <c r="G29" s="18">
        <f t="shared" si="0"/>
        <v>5.95</v>
      </c>
      <c r="H29" s="18">
        <f t="shared" si="1"/>
        <v>1.317187638360046</v>
      </c>
      <c r="I29" s="39"/>
      <c r="K29" s="30"/>
    </row>
    <row r="30" spans="2:11" ht="15.75" thickBot="1">
      <c r="B30" s="16">
        <v>3.3</v>
      </c>
      <c r="C30" s="17" t="s">
        <v>36</v>
      </c>
      <c r="D30" s="18">
        <v>7</v>
      </c>
      <c r="E30" s="18">
        <f t="shared" si="2"/>
        <v>1.5496325157177013</v>
      </c>
      <c r="F30" s="18">
        <f t="shared" si="3"/>
        <v>1.33</v>
      </c>
      <c r="G30" s="18">
        <f t="shared" si="0"/>
        <v>8.33</v>
      </c>
      <c r="H30" s="18">
        <f t="shared" si="1"/>
        <v>1.8440626937040645</v>
      </c>
      <c r="I30" s="39"/>
      <c r="K30" s="30"/>
    </row>
    <row r="31" spans="2:11" ht="26.25" thickBot="1">
      <c r="B31" s="16">
        <v>3.4</v>
      </c>
      <c r="C31" s="17" t="s">
        <v>37</v>
      </c>
      <c r="D31" s="18">
        <v>15</v>
      </c>
      <c r="E31" s="18">
        <f t="shared" si="2"/>
        <v>3.3206411051093601</v>
      </c>
      <c r="F31" s="18">
        <f t="shared" si="3"/>
        <v>2.85</v>
      </c>
      <c r="G31" s="18">
        <f t="shared" si="0"/>
        <v>17.850000000000001</v>
      </c>
      <c r="H31" s="18">
        <f t="shared" si="1"/>
        <v>3.9515629150801383</v>
      </c>
      <c r="I31" s="39"/>
      <c r="K31" s="30"/>
    </row>
    <row r="32" spans="2:11" ht="15.75" thickBot="1">
      <c r="B32" s="16">
        <v>3.5</v>
      </c>
      <c r="C32" s="20" t="s">
        <v>38</v>
      </c>
      <c r="D32" s="18">
        <f>3%*D58</f>
        <v>127.64622310970877</v>
      </c>
      <c r="E32" s="18">
        <f t="shared" si="2"/>
        <v>28.257819691337282</v>
      </c>
      <c r="F32" s="18">
        <f t="shared" si="3"/>
        <v>24.252782390844668</v>
      </c>
      <c r="G32" s="18">
        <f t="shared" si="0"/>
        <v>151.89900550055344</v>
      </c>
      <c r="H32" s="18">
        <f t="shared" si="1"/>
        <v>33.62680543269137</v>
      </c>
      <c r="I32" s="39"/>
      <c r="K32" s="30"/>
    </row>
    <row r="33" spans="2:11" ht="15.75" thickBot="1">
      <c r="B33" s="16" t="s">
        <v>39</v>
      </c>
      <c r="C33" s="20" t="s">
        <v>40</v>
      </c>
      <c r="D33" s="18">
        <v>0</v>
      </c>
      <c r="E33" s="18">
        <f t="shared" si="2"/>
        <v>0</v>
      </c>
      <c r="F33" s="18">
        <f t="shared" si="3"/>
        <v>0</v>
      </c>
      <c r="G33" s="18">
        <f t="shared" si="0"/>
        <v>0</v>
      </c>
      <c r="H33" s="18">
        <f t="shared" si="1"/>
        <v>0</v>
      </c>
      <c r="I33" s="39"/>
      <c r="K33" s="30"/>
    </row>
    <row r="34" spans="2:11" ht="15.75" thickBot="1">
      <c r="B34" s="16" t="s">
        <v>41</v>
      </c>
      <c r="C34" s="20" t="s">
        <v>42</v>
      </c>
      <c r="D34" s="18">
        <v>0</v>
      </c>
      <c r="E34" s="18">
        <f t="shared" si="2"/>
        <v>0</v>
      </c>
      <c r="F34" s="18">
        <f t="shared" si="3"/>
        <v>0</v>
      </c>
      <c r="G34" s="18">
        <f t="shared" si="0"/>
        <v>0</v>
      </c>
      <c r="H34" s="18">
        <f t="shared" si="1"/>
        <v>0</v>
      </c>
      <c r="I34" s="39"/>
      <c r="K34" s="30"/>
    </row>
    <row r="35" spans="2:11" ht="26.25" thickBot="1">
      <c r="B35" s="16" t="s">
        <v>43</v>
      </c>
      <c r="C35" s="17" t="s">
        <v>44</v>
      </c>
      <c r="D35" s="18">
        <v>21.34</v>
      </c>
      <c r="E35" s="18">
        <f t="shared" si="2"/>
        <v>4.7241654122022494</v>
      </c>
      <c r="F35" s="18">
        <f t="shared" si="3"/>
        <v>4.0545999999999998</v>
      </c>
      <c r="G35" s="18">
        <f t="shared" si="0"/>
        <v>25.394600000000001</v>
      </c>
      <c r="H35" s="18">
        <f t="shared" si="1"/>
        <v>5.6217568405206766</v>
      </c>
      <c r="I35" s="39"/>
      <c r="J35" s="6"/>
      <c r="K35" s="30"/>
    </row>
    <row r="36" spans="2:11" ht="26.25" thickBot="1">
      <c r="B36" s="16" t="s">
        <v>45</v>
      </c>
      <c r="C36" s="17" t="s">
        <v>46</v>
      </c>
      <c r="D36" s="18">
        <f>0.1%*D58+10</f>
        <v>14.25487410365696</v>
      </c>
      <c r="E36" s="18">
        <f t="shared" si="2"/>
        <v>3.1556880597841492</v>
      </c>
      <c r="F36" s="18">
        <f t="shared" si="3"/>
        <v>2.7084260796948225</v>
      </c>
      <c r="G36" s="18">
        <f t="shared" si="0"/>
        <v>16.963300183351784</v>
      </c>
      <c r="H36" s="18">
        <f t="shared" si="1"/>
        <v>3.7552687911431382</v>
      </c>
      <c r="I36" s="39"/>
      <c r="J36" s="6"/>
      <c r="K36" s="30"/>
    </row>
    <row r="37" spans="2:11" ht="26.25" thickBot="1">
      <c r="B37" s="16" t="s">
        <v>47</v>
      </c>
      <c r="C37" s="17" t="s">
        <v>48</v>
      </c>
      <c r="D37" s="18">
        <f>0.4%*D58</f>
        <v>17.019496414627838</v>
      </c>
      <c r="E37" s="18">
        <f t="shared" si="2"/>
        <v>3.7677092921783046</v>
      </c>
      <c r="F37" s="18">
        <f t="shared" si="3"/>
        <v>3.2337043187792891</v>
      </c>
      <c r="G37" s="18">
        <f t="shared" si="0"/>
        <v>20.253200733407127</v>
      </c>
      <c r="H37" s="18">
        <f t="shared" si="1"/>
        <v>4.4835740576921825</v>
      </c>
      <c r="I37" s="39"/>
      <c r="J37" s="6"/>
      <c r="K37" s="30"/>
    </row>
    <row r="38" spans="2:11" ht="15.75" thickBot="1">
      <c r="B38" s="16" t="s">
        <v>49</v>
      </c>
      <c r="C38" s="20" t="s">
        <v>50</v>
      </c>
      <c r="D38" s="18">
        <f>D32-D33-D34-D35-D36-D37</f>
        <v>75.03185259142397</v>
      </c>
      <c r="E38" s="18">
        <f t="shared" si="2"/>
        <v>16.610256927172578</v>
      </c>
      <c r="F38" s="18">
        <f t="shared" si="3"/>
        <v>14.256051992370555</v>
      </c>
      <c r="G38" s="18">
        <f t="shared" si="0"/>
        <v>89.287904583794528</v>
      </c>
      <c r="H38" s="18">
        <f t="shared" si="1"/>
        <v>19.76620574333537</v>
      </c>
      <c r="I38" s="39"/>
      <c r="J38" s="6"/>
      <c r="K38" s="30"/>
    </row>
    <row r="39" spans="2:11" ht="15.75" thickBot="1">
      <c r="B39" s="16">
        <v>3.6</v>
      </c>
      <c r="C39" s="20" t="s">
        <v>51</v>
      </c>
      <c r="D39" s="18">
        <v>0</v>
      </c>
      <c r="E39" s="18">
        <f t="shared" si="2"/>
        <v>0</v>
      </c>
      <c r="F39" s="18">
        <f t="shared" si="3"/>
        <v>0</v>
      </c>
      <c r="G39" s="18">
        <f t="shared" si="0"/>
        <v>0</v>
      </c>
      <c r="H39" s="18">
        <f t="shared" si="1"/>
        <v>0</v>
      </c>
      <c r="I39" s="39"/>
      <c r="K39" s="30"/>
    </row>
    <row r="40" spans="2:11" ht="15.75" thickBot="1">
      <c r="B40" s="16">
        <v>3.7</v>
      </c>
      <c r="C40" s="20" t="s">
        <v>52</v>
      </c>
      <c r="D40" s="18">
        <f>D41+D42</f>
        <v>3.5</v>
      </c>
      <c r="E40" s="18">
        <f t="shared" si="2"/>
        <v>0.77481625785885067</v>
      </c>
      <c r="F40" s="18">
        <f t="shared" si="3"/>
        <v>0.66500000000000004</v>
      </c>
      <c r="G40" s="18">
        <f t="shared" si="0"/>
        <v>4.165</v>
      </c>
      <c r="H40" s="18">
        <f t="shared" si="1"/>
        <v>0.92203134685203225</v>
      </c>
      <c r="I40" s="39"/>
      <c r="J40" s="6"/>
      <c r="K40" s="30"/>
    </row>
    <row r="41" spans="2:11" ht="26.25" thickBot="1">
      <c r="B41" s="16" t="s">
        <v>53</v>
      </c>
      <c r="C41" s="17" t="s">
        <v>54</v>
      </c>
      <c r="D41" s="18">
        <v>0</v>
      </c>
      <c r="E41" s="18">
        <f t="shared" si="2"/>
        <v>0</v>
      </c>
      <c r="F41" s="18">
        <f t="shared" si="3"/>
        <v>0</v>
      </c>
      <c r="G41" s="18">
        <f t="shared" si="0"/>
        <v>0</v>
      </c>
      <c r="H41" s="18">
        <f t="shared" si="1"/>
        <v>0</v>
      </c>
      <c r="I41" s="39"/>
      <c r="J41" s="6"/>
      <c r="K41" s="30">
        <v>5.9579292740173807E-3</v>
      </c>
    </row>
    <row r="42" spans="2:11" ht="15.75" thickBot="1">
      <c r="B42" s="16" t="s">
        <v>55</v>
      </c>
      <c r="C42" s="17" t="s">
        <v>56</v>
      </c>
      <c r="D42" s="18">
        <v>3.5</v>
      </c>
      <c r="E42" s="18">
        <f>D42/$E$8</f>
        <v>0.77481625785885067</v>
      </c>
      <c r="F42" s="18"/>
      <c r="G42" s="18">
        <f t="shared" si="0"/>
        <v>3.5</v>
      </c>
      <c r="H42" s="18">
        <f t="shared" si="1"/>
        <v>0.77481625785885067</v>
      </c>
      <c r="I42" s="39"/>
      <c r="J42" s="6"/>
      <c r="K42" s="30">
        <v>2.9789646370086903E-3</v>
      </c>
    </row>
    <row r="43" spans="2:11" ht="15.75" thickBot="1">
      <c r="B43" s="16">
        <v>3.8</v>
      </c>
      <c r="C43" s="17" t="s">
        <v>57</v>
      </c>
      <c r="D43" s="18">
        <f>1.5%*$D$58</f>
        <v>63.823111554854385</v>
      </c>
      <c r="E43" s="18">
        <f t="shared" si="2"/>
        <v>14.128909845668641</v>
      </c>
      <c r="F43" s="18">
        <f t="shared" si="3"/>
        <v>12.126391195422334</v>
      </c>
      <c r="G43" s="18">
        <f t="shared" si="0"/>
        <v>75.949502750276721</v>
      </c>
      <c r="H43" s="18">
        <f t="shared" si="1"/>
        <v>16.813402716345685</v>
      </c>
      <c r="I43" s="39"/>
      <c r="J43" s="6"/>
      <c r="K43" s="30">
        <v>1.4999999999999999E-2</v>
      </c>
    </row>
    <row r="44" spans="2:11" ht="15.75" thickBot="1">
      <c r="B44" s="16" t="s">
        <v>58</v>
      </c>
      <c r="C44" s="17" t="s">
        <v>59</v>
      </c>
      <c r="D44" s="18">
        <f>0.5%*$D$58</f>
        <v>21.274370518284794</v>
      </c>
      <c r="E44" s="18">
        <f t="shared" si="2"/>
        <v>4.7096366152228804</v>
      </c>
      <c r="F44" s="18">
        <f t="shared" si="3"/>
        <v>4.0421303984741108</v>
      </c>
      <c r="G44" s="18">
        <f t="shared" si="0"/>
        <v>25.316500916758905</v>
      </c>
      <c r="H44" s="18">
        <f t="shared" si="1"/>
        <v>5.6044675721152277</v>
      </c>
      <c r="I44" s="39"/>
      <c r="J44" s="6"/>
      <c r="K44" s="30">
        <v>5.0000000000000001E-3</v>
      </c>
    </row>
    <row r="45" spans="2:11" ht="15.75" thickBot="1">
      <c r="B45" s="16" t="s">
        <v>60</v>
      </c>
      <c r="C45" s="17" t="s">
        <v>61</v>
      </c>
      <c r="D45" s="18">
        <f>0.35%*$D$58</f>
        <v>14.892059362799355</v>
      </c>
      <c r="E45" s="18">
        <f t="shared" si="2"/>
        <v>3.2967456306560159</v>
      </c>
      <c r="F45" s="18">
        <f t="shared" si="3"/>
        <v>2.8294912789318776</v>
      </c>
      <c r="G45" s="18">
        <f t="shared" si="0"/>
        <v>17.721550641731234</v>
      </c>
      <c r="H45" s="18">
        <f t="shared" si="1"/>
        <v>3.9231273004806595</v>
      </c>
      <c r="I45" s="39"/>
      <c r="J45" s="6"/>
      <c r="K45" s="30">
        <v>3.5000000000000001E-3</v>
      </c>
    </row>
    <row r="46" spans="2:11" ht="51.75" thickBot="1">
      <c r="B46" s="16" t="s">
        <v>62</v>
      </c>
      <c r="C46" s="17" t="s">
        <v>63</v>
      </c>
      <c r="D46" s="18">
        <f>0.15%*$D$58</f>
        <v>6.3823111554854384</v>
      </c>
      <c r="E46" s="18">
        <f t="shared" si="2"/>
        <v>1.412890984566864</v>
      </c>
      <c r="F46" s="18">
        <f t="shared" si="3"/>
        <v>1.2126391195422332</v>
      </c>
      <c r="G46" s="18">
        <f t="shared" si="0"/>
        <v>7.5949502750276716</v>
      </c>
      <c r="H46" s="18">
        <f t="shared" si="1"/>
        <v>1.6813402716345682</v>
      </c>
      <c r="I46" s="39"/>
      <c r="J46" s="6"/>
      <c r="K46" s="30">
        <v>1.5E-3</v>
      </c>
    </row>
    <row r="47" spans="2:11" ht="15.75" thickBot="1">
      <c r="B47" s="16" t="s">
        <v>64</v>
      </c>
      <c r="C47" s="20" t="s">
        <v>65</v>
      </c>
      <c r="D47" s="18">
        <f>1%*$D$58</f>
        <v>42.548741036569588</v>
      </c>
      <c r="E47" s="18">
        <f t="shared" si="2"/>
        <v>9.4192732304457607</v>
      </c>
      <c r="F47" s="18">
        <f t="shared" si="3"/>
        <v>8.0842607969482216</v>
      </c>
      <c r="G47" s="18">
        <f t="shared" si="0"/>
        <v>50.63300183351781</v>
      </c>
      <c r="H47" s="18">
        <f t="shared" si="1"/>
        <v>11.208935144230455</v>
      </c>
      <c r="I47" s="39"/>
      <c r="J47" s="6"/>
      <c r="K47" s="30">
        <v>0.01</v>
      </c>
    </row>
    <row r="48" spans="2:11" ht="15.75" thickBot="1">
      <c r="B48" s="59" t="s">
        <v>66</v>
      </c>
      <c r="C48" s="60"/>
      <c r="D48" s="19">
        <f>D22+D29+D30+D31+D32+D39+D40+D43</f>
        <v>221.96933466456318</v>
      </c>
      <c r="E48" s="19">
        <f t="shared" si="2"/>
        <v>49.138699784061629</v>
      </c>
      <c r="F48" s="19">
        <f>F22+F29+F30+F31+F32+F39+F40+F43</f>
        <v>42.174173586267003</v>
      </c>
      <c r="G48" s="19">
        <f>D48+F48</f>
        <v>264.14350825083017</v>
      </c>
      <c r="H48" s="19">
        <f>G48/$E$8</f>
        <v>58.475052743033331</v>
      </c>
      <c r="I48" s="40"/>
    </row>
    <row r="49" spans="2:11" ht="15.75" thickBot="1">
      <c r="B49" s="61" t="s">
        <v>67</v>
      </c>
      <c r="C49" s="62"/>
      <c r="D49" s="62"/>
      <c r="E49" s="62"/>
      <c r="F49" s="62"/>
      <c r="G49" s="62"/>
      <c r="H49" s="63"/>
      <c r="I49" s="41"/>
    </row>
    <row r="50" spans="2:11" ht="15.75" thickBot="1">
      <c r="B50" s="23">
        <v>4.0999999999999996</v>
      </c>
      <c r="C50" s="24" t="s">
        <v>68</v>
      </c>
      <c r="D50" s="21">
        <f>SUM(D51:D52)</f>
        <v>3151.9841036569596</v>
      </c>
      <c r="E50" s="21">
        <f t="shared" si="2"/>
        <v>697.77386515030548</v>
      </c>
      <c r="F50" s="21">
        <f>SUM(F51:F52)</f>
        <v>598.87697969482235</v>
      </c>
      <c r="G50" s="21">
        <f t="shared" ref="G50:G58" si="4">D50+F50</f>
        <v>3750.8610833517819</v>
      </c>
      <c r="H50" s="21">
        <f t="shared" ref="H50:H77" si="5">G50/$E$8</f>
        <v>830.35089952886347</v>
      </c>
      <c r="I50" s="40"/>
    </row>
    <row r="51" spans="2:11" ht="26.25" thickBot="1">
      <c r="B51" s="16" t="s">
        <v>69</v>
      </c>
      <c r="C51" s="25" t="s">
        <v>94</v>
      </c>
      <c r="D51" s="18">
        <f>J51/1000</f>
        <v>2860.2004766569598</v>
      </c>
      <c r="E51" s="18">
        <f t="shared" si="2"/>
        <v>633.17995144269901</v>
      </c>
      <c r="F51" s="18">
        <f t="shared" ref="F51:F57" si="6">D51*$H$7</f>
        <v>543.43809056482235</v>
      </c>
      <c r="G51" s="18">
        <f t="shared" si="4"/>
        <v>3403.6385672217821</v>
      </c>
      <c r="H51" s="18">
        <f t="shared" si="5"/>
        <v>753.48414221681173</v>
      </c>
      <c r="I51" s="39"/>
      <c r="J51" s="29">
        <v>2860200.4766569599</v>
      </c>
    </row>
    <row r="52" spans="2:11" ht="26.25" thickBot="1">
      <c r="B52" s="16" t="s">
        <v>70</v>
      </c>
      <c r="C52" s="25" t="s">
        <v>95</v>
      </c>
      <c r="D52" s="18">
        <f>J52/1000</f>
        <v>291.78362700000002</v>
      </c>
      <c r="E52" s="18">
        <f t="shared" si="2"/>
        <v>64.59391370760649</v>
      </c>
      <c r="F52" s="18">
        <f t="shared" si="6"/>
        <v>55.438889130000007</v>
      </c>
      <c r="G52" s="18">
        <f t="shared" si="4"/>
        <v>347.22251613000003</v>
      </c>
      <c r="H52" s="18">
        <f t="shared" si="5"/>
        <v>76.866757312051718</v>
      </c>
      <c r="I52" s="39"/>
      <c r="J52" s="29">
        <v>291783.62700000004</v>
      </c>
    </row>
    <row r="53" spans="2:11" ht="26.25" thickBot="1">
      <c r="B53" s="23">
        <v>4.2</v>
      </c>
      <c r="C53" s="27" t="s">
        <v>71</v>
      </c>
      <c r="D53" s="21">
        <f>J53/1000</f>
        <v>37.2630962</v>
      </c>
      <c r="E53" s="18">
        <f t="shared" si="2"/>
        <v>8.2491579296909592</v>
      </c>
      <c r="F53" s="18">
        <f t="shared" si="6"/>
        <v>7.0799882780000001</v>
      </c>
      <c r="G53" s="18">
        <f t="shared" si="4"/>
        <v>44.343084478000002</v>
      </c>
      <c r="H53" s="18">
        <f t="shared" si="5"/>
        <v>9.816497936332242</v>
      </c>
      <c r="I53" s="39"/>
      <c r="J53" s="47">
        <v>37263.0962</v>
      </c>
    </row>
    <row r="54" spans="2:11" ht="26.25" thickBot="1">
      <c r="B54" s="23">
        <v>4.3</v>
      </c>
      <c r="C54" s="27" t="s">
        <v>72</v>
      </c>
      <c r="D54" s="21">
        <f>J54/1000</f>
        <v>1065.6269038</v>
      </c>
      <c r="E54" s="18">
        <f t="shared" si="2"/>
        <v>235.90429996457985</v>
      </c>
      <c r="F54" s="18">
        <f t="shared" si="6"/>
        <v>202.46911172200001</v>
      </c>
      <c r="G54" s="18">
        <f t="shared" si="4"/>
        <v>1268.096015522</v>
      </c>
      <c r="H54" s="18">
        <f t="shared" si="5"/>
        <v>280.72611695785002</v>
      </c>
      <c r="I54" s="39"/>
      <c r="J54" s="28">
        <v>1065626.9038</v>
      </c>
    </row>
    <row r="55" spans="2:11" ht="39" thickBot="1">
      <c r="B55" s="23">
        <v>4.4000000000000004</v>
      </c>
      <c r="C55" s="27" t="s">
        <v>73</v>
      </c>
      <c r="D55" s="21">
        <v>0</v>
      </c>
      <c r="E55" s="18">
        <f t="shared" si="2"/>
        <v>0</v>
      </c>
      <c r="F55" s="18">
        <f t="shared" si="6"/>
        <v>0</v>
      </c>
      <c r="G55" s="18">
        <f t="shared" si="4"/>
        <v>0</v>
      </c>
      <c r="H55" s="18">
        <f t="shared" si="5"/>
        <v>0</v>
      </c>
      <c r="I55" s="39"/>
    </row>
    <row r="56" spans="2:11" ht="15.75" thickBot="1">
      <c r="B56" s="23">
        <v>4.5</v>
      </c>
      <c r="C56" s="27" t="s">
        <v>74</v>
      </c>
      <c r="D56" s="21">
        <v>0</v>
      </c>
      <c r="E56" s="18">
        <f t="shared" si="2"/>
        <v>0</v>
      </c>
      <c r="F56" s="18">
        <f t="shared" si="6"/>
        <v>0</v>
      </c>
      <c r="G56" s="18">
        <f t="shared" si="4"/>
        <v>0</v>
      </c>
      <c r="H56" s="18">
        <f t="shared" si="5"/>
        <v>0</v>
      </c>
      <c r="I56" s="39"/>
    </row>
    <row r="57" spans="2:11" ht="15.75" thickBot="1">
      <c r="B57" s="23">
        <v>4.5999999999999996</v>
      </c>
      <c r="C57" s="27" t="s">
        <v>75</v>
      </c>
      <c r="D57" s="21">
        <v>0</v>
      </c>
      <c r="E57" s="18">
        <f t="shared" si="2"/>
        <v>0</v>
      </c>
      <c r="F57" s="18">
        <f t="shared" si="6"/>
        <v>0</v>
      </c>
      <c r="G57" s="18">
        <f t="shared" si="4"/>
        <v>0</v>
      </c>
      <c r="H57" s="18">
        <f t="shared" si="5"/>
        <v>0</v>
      </c>
      <c r="I57" s="39"/>
    </row>
    <row r="58" spans="2:11" ht="15.75" thickBot="1">
      <c r="B58" s="59" t="s">
        <v>76</v>
      </c>
      <c r="C58" s="60"/>
      <c r="D58" s="19">
        <f>D50+D53+D54+D55+D56+D57</f>
        <v>4254.8741036569591</v>
      </c>
      <c r="E58" s="19">
        <f t="shared" si="2"/>
        <v>941.92732304457616</v>
      </c>
      <c r="F58" s="19">
        <f>F50+F53+F54+F55+F56+F57</f>
        <v>808.42607969482231</v>
      </c>
      <c r="G58" s="19">
        <f t="shared" si="4"/>
        <v>5063.300183351781</v>
      </c>
      <c r="H58" s="19">
        <f t="shared" si="5"/>
        <v>1120.8935144230454</v>
      </c>
      <c r="I58" s="40"/>
    </row>
    <row r="59" spans="2:11" s="7" customFormat="1" ht="15.75" thickBot="1">
      <c r="B59" s="61" t="s">
        <v>77</v>
      </c>
      <c r="C59" s="62"/>
      <c r="D59" s="62"/>
      <c r="E59" s="62"/>
      <c r="F59" s="62"/>
      <c r="G59" s="62"/>
      <c r="H59" s="63"/>
      <c r="I59" s="41"/>
    </row>
    <row r="60" spans="2:11" ht="15.75" thickBot="1">
      <c r="B60" s="23">
        <v>5.0999999999999996</v>
      </c>
      <c r="C60" s="24" t="s">
        <v>78</v>
      </c>
      <c r="D60" s="21">
        <f>D61+D62</f>
        <v>106.37185259142399</v>
      </c>
      <c r="E60" s="21">
        <f t="shared" si="2"/>
        <v>23.548183076114405</v>
      </c>
      <c r="F60" s="21">
        <f>F61+F62</f>
        <v>20.210651992370558</v>
      </c>
      <c r="G60" s="21">
        <f t="shared" ref="G60:G71" si="7">D60+F60</f>
        <v>126.58250458379455</v>
      </c>
      <c r="H60" s="21">
        <f t="shared" si="5"/>
        <v>28.02233786057614</v>
      </c>
      <c r="I60" s="40"/>
      <c r="J60" s="6"/>
      <c r="K60" s="31">
        <v>2.5000000000000001E-2</v>
      </c>
    </row>
    <row r="61" spans="2:11" ht="26.25" thickBot="1">
      <c r="B61" s="16" t="s">
        <v>79</v>
      </c>
      <c r="C61" s="25" t="s">
        <v>80</v>
      </c>
      <c r="D61" s="18">
        <f>2.5%*D58</f>
        <v>106.37185259142399</v>
      </c>
      <c r="E61" s="18">
        <f t="shared" si="2"/>
        <v>23.548183076114405</v>
      </c>
      <c r="F61" s="18">
        <f>D61*$H$7</f>
        <v>20.210651992370558</v>
      </c>
      <c r="G61" s="18">
        <f t="shared" si="7"/>
        <v>126.58250458379455</v>
      </c>
      <c r="H61" s="18">
        <f t="shared" si="5"/>
        <v>28.02233786057614</v>
      </c>
      <c r="I61" s="39"/>
      <c r="K61" s="31"/>
    </row>
    <row r="62" spans="2:11" ht="15.75" thickBot="1">
      <c r="B62" s="16" t="s">
        <v>81</v>
      </c>
      <c r="C62" s="26" t="s">
        <v>82</v>
      </c>
      <c r="D62" s="3">
        <v>0</v>
      </c>
      <c r="E62" s="18">
        <f t="shared" si="2"/>
        <v>0</v>
      </c>
      <c r="F62" s="18">
        <f>D62*$H$7</f>
        <v>0</v>
      </c>
      <c r="G62" s="18">
        <f t="shared" si="7"/>
        <v>0</v>
      </c>
      <c r="H62" s="18">
        <f t="shared" si="5"/>
        <v>0</v>
      </c>
      <c r="I62" s="39"/>
      <c r="K62" s="31"/>
    </row>
    <row r="63" spans="2:11" ht="15.75" thickBot="1">
      <c r="B63" s="16">
        <v>5.2</v>
      </c>
      <c r="C63" s="20" t="s">
        <v>83</v>
      </c>
      <c r="D63" s="33">
        <f>SUM(D64:D68)</f>
        <v>44.352186654249209</v>
      </c>
      <c r="E63" s="18">
        <f t="shared" si="2"/>
        <v>9.8185129403721803</v>
      </c>
      <c r="F63" s="33">
        <v>0</v>
      </c>
      <c r="G63" s="18">
        <f t="shared" si="7"/>
        <v>44.352186654249209</v>
      </c>
      <c r="H63" s="18">
        <f t="shared" si="5"/>
        <v>9.8185129403721803</v>
      </c>
      <c r="I63" s="39"/>
      <c r="J63" s="6"/>
      <c r="K63" s="31">
        <v>1.10855615244077E-2</v>
      </c>
    </row>
    <row r="64" spans="2:11" ht="26.25" thickBot="1">
      <c r="B64" s="16" t="s">
        <v>96</v>
      </c>
      <c r="C64" s="17" t="s">
        <v>101</v>
      </c>
      <c r="D64" s="33">
        <v>0</v>
      </c>
      <c r="E64" s="18">
        <f t="shared" si="2"/>
        <v>0</v>
      </c>
      <c r="F64" s="33">
        <v>0</v>
      </c>
      <c r="G64" s="18">
        <f t="shared" si="7"/>
        <v>0</v>
      </c>
      <c r="H64" s="18">
        <f t="shared" si="5"/>
        <v>0</v>
      </c>
      <c r="I64" s="39"/>
      <c r="J64" s="6"/>
      <c r="K64" s="31"/>
    </row>
    <row r="65" spans="2:11" ht="26.25" thickBot="1">
      <c r="B65" s="16" t="s">
        <v>97</v>
      </c>
      <c r="C65" s="17" t="s">
        <v>102</v>
      </c>
      <c r="D65" s="33">
        <f>0.5%*(D50+D69)</f>
        <v>17.887357570113277</v>
      </c>
      <c r="E65" s="18">
        <f t="shared" si="2"/>
        <v>3.9598329872738152</v>
      </c>
      <c r="F65" s="33">
        <v>0</v>
      </c>
      <c r="G65" s="18">
        <f t="shared" si="7"/>
        <v>17.887357570113277</v>
      </c>
      <c r="H65" s="18">
        <f t="shared" si="5"/>
        <v>3.9598329872738152</v>
      </c>
      <c r="I65" s="39"/>
      <c r="J65" s="6"/>
      <c r="K65" s="31"/>
    </row>
    <row r="66" spans="2:11" ht="39" thickBot="1">
      <c r="B66" s="16" t="s">
        <v>98</v>
      </c>
      <c r="C66" s="17" t="s">
        <v>103</v>
      </c>
      <c r="D66" s="33">
        <f>0.1%*(D50+D69)</f>
        <v>3.5774715140226556</v>
      </c>
      <c r="E66" s="18">
        <f t="shared" si="2"/>
        <v>0.79196659745476305</v>
      </c>
      <c r="F66" s="33">
        <v>0</v>
      </c>
      <c r="G66" s="18">
        <f t="shared" si="7"/>
        <v>3.5774715140226556</v>
      </c>
      <c r="H66" s="18">
        <f t="shared" si="5"/>
        <v>0.79196659745476305</v>
      </c>
      <c r="I66" s="39"/>
      <c r="J66" s="6"/>
      <c r="K66" s="31"/>
    </row>
    <row r="67" spans="2:11" ht="26.25" thickBot="1">
      <c r="B67" s="16" t="s">
        <v>99</v>
      </c>
      <c r="C67" s="17" t="s">
        <v>104</v>
      </c>
      <c r="D67" s="33">
        <f>0.5%*(D50+D69)</f>
        <v>17.887357570113277</v>
      </c>
      <c r="E67" s="18">
        <f t="shared" si="2"/>
        <v>3.9598329872738152</v>
      </c>
      <c r="F67" s="33">
        <v>0</v>
      </c>
      <c r="G67" s="18">
        <f t="shared" si="7"/>
        <v>17.887357570113277</v>
      </c>
      <c r="H67" s="18">
        <f t="shared" si="5"/>
        <v>3.9598329872738152</v>
      </c>
      <c r="I67" s="39"/>
      <c r="J67" s="6"/>
      <c r="K67" s="31"/>
    </row>
    <row r="68" spans="2:11" ht="26.25" thickBot="1">
      <c r="B68" s="16" t="s">
        <v>100</v>
      </c>
      <c r="C68" s="17" t="s">
        <v>105</v>
      </c>
      <c r="D68" s="33">
        <v>5</v>
      </c>
      <c r="E68" s="18">
        <f t="shared" si="2"/>
        <v>1.1068803683697865</v>
      </c>
      <c r="F68" s="33">
        <v>0</v>
      </c>
      <c r="G68" s="18">
        <f t="shared" si="7"/>
        <v>5</v>
      </c>
      <c r="H68" s="18">
        <f t="shared" si="5"/>
        <v>1.1068803683697865</v>
      </c>
      <c r="I68" s="39"/>
      <c r="J68" s="6"/>
      <c r="K68" s="31"/>
    </row>
    <row r="69" spans="2:11" ht="15.75" thickBot="1">
      <c r="B69" s="16">
        <v>5.3</v>
      </c>
      <c r="C69" s="20" t="s">
        <v>84</v>
      </c>
      <c r="D69" s="18">
        <f>10%*D58</f>
        <v>425.48741036569595</v>
      </c>
      <c r="E69" s="18">
        <f t="shared" si="2"/>
        <v>94.192732304457621</v>
      </c>
      <c r="F69" s="18">
        <f>D69*$H$7</f>
        <v>80.842607969482231</v>
      </c>
      <c r="G69" s="18">
        <f t="shared" si="7"/>
        <v>506.33001833517818</v>
      </c>
      <c r="H69" s="18">
        <f t="shared" si="5"/>
        <v>112.08935144230456</v>
      </c>
      <c r="I69" s="39"/>
      <c r="J69" s="6"/>
      <c r="K69" s="31">
        <v>0.1</v>
      </c>
    </row>
    <row r="70" spans="2:11" ht="15.75" thickBot="1">
      <c r="B70" s="16">
        <v>5.4</v>
      </c>
      <c r="C70" s="20" t="s">
        <v>85</v>
      </c>
      <c r="D70" s="18">
        <f>0.15%*D50</f>
        <v>4.7279761554854396</v>
      </c>
      <c r="E70" s="18">
        <f t="shared" si="2"/>
        <v>1.0466607977254583</v>
      </c>
      <c r="F70" s="18">
        <f>D70*$H$7</f>
        <v>0.89831546954223351</v>
      </c>
      <c r="G70" s="18">
        <f t="shared" si="7"/>
        <v>5.6262916250276733</v>
      </c>
      <c r="H70" s="18">
        <f t="shared" si="5"/>
        <v>1.2455263492932953</v>
      </c>
      <c r="I70" s="39"/>
      <c r="J70" s="6"/>
      <c r="K70" s="31">
        <v>1.4894823185043452E-3</v>
      </c>
    </row>
    <row r="71" spans="2:11" ht="15.75" thickBot="1">
      <c r="B71" s="59" t="s">
        <v>86</v>
      </c>
      <c r="C71" s="60"/>
      <c r="D71" s="19">
        <f>D60+D63+D69+D70</f>
        <v>580.93942576685458</v>
      </c>
      <c r="E71" s="19">
        <f t="shared" si="2"/>
        <v>128.60608911866967</v>
      </c>
      <c r="F71" s="19">
        <f>F60+F63+F69+F70</f>
        <v>101.95157543139503</v>
      </c>
      <c r="G71" s="19">
        <f t="shared" si="7"/>
        <v>682.89100119824957</v>
      </c>
      <c r="H71" s="19">
        <f t="shared" si="5"/>
        <v>151.17572859254616</v>
      </c>
      <c r="I71" s="40"/>
    </row>
    <row r="72" spans="2:11" ht="15.75" thickBot="1">
      <c r="B72" s="61" t="s">
        <v>87</v>
      </c>
      <c r="C72" s="62"/>
      <c r="D72" s="62"/>
      <c r="E72" s="62"/>
      <c r="F72" s="62"/>
      <c r="G72" s="62"/>
      <c r="H72" s="63"/>
      <c r="I72" s="41"/>
    </row>
    <row r="73" spans="2:11" ht="15.75" thickBot="1">
      <c r="B73" s="16">
        <v>6.1</v>
      </c>
      <c r="C73" s="20" t="s">
        <v>88</v>
      </c>
      <c r="D73" s="18">
        <f>J73/1000</f>
        <v>10</v>
      </c>
      <c r="E73" s="18">
        <f t="shared" si="2"/>
        <v>2.2137607367395731</v>
      </c>
      <c r="F73" s="18">
        <f>D73*$H$7</f>
        <v>1.9</v>
      </c>
      <c r="G73" s="18">
        <f>D73+F73</f>
        <v>11.9</v>
      </c>
      <c r="H73" s="18">
        <f t="shared" si="5"/>
        <v>2.6343752767200921</v>
      </c>
      <c r="I73" s="39"/>
      <c r="J73" s="44">
        <v>10000</v>
      </c>
    </row>
    <row r="74" spans="2:11" ht="15.75" thickBot="1">
      <c r="B74" s="16">
        <v>6.2</v>
      </c>
      <c r="C74" s="20" t="s">
        <v>89</v>
      </c>
      <c r="D74" s="18">
        <f>J74/1000</f>
        <v>10</v>
      </c>
      <c r="E74" s="18">
        <f t="shared" si="2"/>
        <v>2.2137607367395731</v>
      </c>
      <c r="F74" s="18">
        <f>D74*$H$7</f>
        <v>1.9</v>
      </c>
      <c r="G74" s="18">
        <f>D74+F74</f>
        <v>11.9</v>
      </c>
      <c r="H74" s="18">
        <f t="shared" si="5"/>
        <v>2.6343752767200921</v>
      </c>
      <c r="I74" s="39"/>
      <c r="J74" s="44">
        <v>10000</v>
      </c>
    </row>
    <row r="75" spans="2:11" s="7" customFormat="1" ht="15.75" thickBot="1">
      <c r="B75" s="59" t="s">
        <v>90</v>
      </c>
      <c r="C75" s="60"/>
      <c r="D75" s="19">
        <f>D73+D74</f>
        <v>20</v>
      </c>
      <c r="E75" s="19">
        <f t="shared" si="2"/>
        <v>4.4275214734791462</v>
      </c>
      <c r="F75" s="19">
        <f>D75*$H$7</f>
        <v>3.8</v>
      </c>
      <c r="G75" s="19">
        <f>D75+F75</f>
        <v>23.8</v>
      </c>
      <c r="H75" s="19">
        <f t="shared" si="5"/>
        <v>5.2687505534401842</v>
      </c>
      <c r="I75" s="40"/>
    </row>
    <row r="76" spans="2:11" ht="15.75" thickBot="1">
      <c r="B76" s="64" t="s">
        <v>91</v>
      </c>
      <c r="C76" s="65"/>
      <c r="D76" s="22">
        <f>D17+D20+D48+D58+D71+D75</f>
        <v>5077.7828640883772</v>
      </c>
      <c r="E76" s="22">
        <f t="shared" si="2"/>
        <v>1124.0996334207866</v>
      </c>
      <c r="F76" s="22">
        <f>F17+F20+F48+F58+F71+F75</f>
        <v>956.35182871248423</v>
      </c>
      <c r="G76" s="22">
        <f>D76+F76</f>
        <v>6034.1346928008616</v>
      </c>
      <c r="H76" s="22">
        <f t="shared" si="5"/>
        <v>1335.8130463120654</v>
      </c>
      <c r="I76" s="40"/>
    </row>
    <row r="77" spans="2:11" ht="15.75" thickBot="1">
      <c r="B77" s="68" t="s">
        <v>92</v>
      </c>
      <c r="C77" s="69"/>
      <c r="D77" s="4">
        <f>D14+D15+D16+D19+D50+D53+D61</f>
        <v>3295.6190524483836</v>
      </c>
      <c r="E77" s="4">
        <f t="shared" si="2"/>
        <v>729.57120615611075</v>
      </c>
      <c r="F77" s="4">
        <f>F14+F15+F16+F19+F50+F53+F61</f>
        <v>626.1676199651929</v>
      </c>
      <c r="G77" s="4">
        <f>D77+F77</f>
        <v>3921.7866724135765</v>
      </c>
      <c r="H77" s="4">
        <f t="shared" si="5"/>
        <v>868.18973532577184</v>
      </c>
      <c r="I77" s="42"/>
    </row>
  </sheetData>
  <mergeCells count="24">
    <mergeCell ref="B9:B10"/>
    <mergeCell ref="C9:C10"/>
    <mergeCell ref="D9:E9"/>
    <mergeCell ref="G9:H9"/>
    <mergeCell ref="G8:H8"/>
    <mergeCell ref="B12:H12"/>
    <mergeCell ref="B17:C17"/>
    <mergeCell ref="B18:H18"/>
    <mergeCell ref="B48:C48"/>
    <mergeCell ref="B2:D2"/>
    <mergeCell ref="B3:D3"/>
    <mergeCell ref="B4:H4"/>
    <mergeCell ref="B5:H5"/>
    <mergeCell ref="B6:H6"/>
    <mergeCell ref="B20:C20"/>
    <mergeCell ref="B21:H21"/>
    <mergeCell ref="B76:C76"/>
    <mergeCell ref="B77:C77"/>
    <mergeCell ref="B49:H49"/>
    <mergeCell ref="B58:C58"/>
    <mergeCell ref="B59:H59"/>
    <mergeCell ref="B71:C71"/>
    <mergeCell ref="B72:H72"/>
    <mergeCell ref="B75:C75"/>
  </mergeCells>
  <phoneticPr fontId="0" type="noConversion"/>
  <pageMargins left="0.7" right="0.7" top="0.75" bottom="0.75" header="0.3" footer="0.3"/>
  <pageSetup paperSize="9" scale="67" fitToHeight="2" orientation="portrait" horizontalDpi="1200" verticalDpi="1200" r:id="rId1"/>
  <rowBreaks count="1" manualBreakCount="1">
    <brk id="5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B2:K77"/>
  <sheetViews>
    <sheetView view="pageBreakPreview" topLeftCell="A61" zoomScale="85" zoomScaleNormal="85" zoomScaleSheetLayoutView="85" workbookViewId="0">
      <selection activeCell="D95" sqref="D95"/>
    </sheetView>
  </sheetViews>
  <sheetFormatPr defaultRowHeight="15"/>
  <cols>
    <col min="2" max="2" width="9.140625" style="7"/>
    <col min="3" max="3" width="42.140625" style="7" customWidth="1"/>
    <col min="4" max="4" width="11.5703125" style="5" bestFit="1" customWidth="1"/>
    <col min="5" max="6" width="9.85546875" style="5" bestFit="1" customWidth="1"/>
    <col min="7" max="7" width="11.5703125" style="5" bestFit="1" customWidth="1"/>
    <col min="8" max="8" width="10.85546875" style="5" bestFit="1" customWidth="1"/>
    <col min="9" max="9" width="10.85546875" style="5" customWidth="1"/>
    <col min="10" max="10" width="13.28515625" bestFit="1" customWidth="1"/>
  </cols>
  <sheetData>
    <row r="2" spans="2:9" s="7" customFormat="1">
      <c r="B2" s="70" t="s">
        <v>93</v>
      </c>
      <c r="C2" s="70"/>
      <c r="D2" s="70"/>
      <c r="E2" s="2"/>
      <c r="F2" s="2"/>
      <c r="G2" s="2"/>
      <c r="H2" s="2"/>
      <c r="I2" s="2"/>
    </row>
    <row r="3" spans="2:9" s="7" customFormat="1">
      <c r="B3" s="70" t="s">
        <v>107</v>
      </c>
      <c r="C3" s="70"/>
      <c r="D3" s="70"/>
      <c r="E3" s="2"/>
      <c r="F3" s="2"/>
      <c r="G3" s="2"/>
      <c r="H3" s="2"/>
      <c r="I3" s="2"/>
    </row>
    <row r="4" spans="2:9" s="7" customFormat="1">
      <c r="B4" s="71" t="s">
        <v>0</v>
      </c>
      <c r="C4" s="71"/>
      <c r="D4" s="71"/>
      <c r="E4" s="71"/>
      <c r="F4" s="71"/>
      <c r="G4" s="71"/>
      <c r="H4" s="71"/>
      <c r="I4" s="48"/>
    </row>
    <row r="5" spans="2:9" s="7" customFormat="1">
      <c r="B5" s="72" t="s">
        <v>1</v>
      </c>
      <c r="C5" s="72"/>
      <c r="D5" s="72"/>
      <c r="E5" s="72"/>
      <c r="F5" s="72"/>
      <c r="G5" s="72"/>
      <c r="H5" s="72"/>
      <c r="I5" s="49"/>
    </row>
    <row r="6" spans="2:9" s="7" customFormat="1" ht="48" customHeight="1">
      <c r="B6" s="73" t="s">
        <v>109</v>
      </c>
      <c r="C6" s="73"/>
      <c r="D6" s="73"/>
      <c r="E6" s="73"/>
      <c r="F6" s="73"/>
      <c r="G6" s="73"/>
      <c r="H6" s="73"/>
      <c r="I6" s="50"/>
    </row>
    <row r="7" spans="2:9" s="7" customFormat="1">
      <c r="B7" s="1"/>
      <c r="C7" s="1"/>
      <c r="D7" s="2"/>
      <c r="E7" s="2"/>
      <c r="F7" s="2"/>
      <c r="G7" s="8" t="s">
        <v>2</v>
      </c>
      <c r="H7" s="9">
        <v>0.19</v>
      </c>
      <c r="I7" s="9"/>
    </row>
    <row r="8" spans="2:9" s="7" customFormat="1" ht="15.75" thickBot="1">
      <c r="B8" s="1"/>
      <c r="C8" s="1"/>
      <c r="D8" s="10" t="s">
        <v>3</v>
      </c>
      <c r="E8" s="32">
        <v>4.5171999999999999</v>
      </c>
      <c r="F8" s="11" t="s">
        <v>4</v>
      </c>
      <c r="G8" s="74" t="s">
        <v>106</v>
      </c>
      <c r="H8" s="74"/>
      <c r="I8" s="2"/>
    </row>
    <row r="9" spans="2:9" s="7" customFormat="1" ht="15.75" thickBot="1">
      <c r="B9" s="75" t="s">
        <v>5</v>
      </c>
      <c r="C9" s="75" t="s">
        <v>6</v>
      </c>
      <c r="D9" s="66" t="s">
        <v>7</v>
      </c>
      <c r="E9" s="67"/>
      <c r="F9" s="12" t="s">
        <v>8</v>
      </c>
      <c r="G9" s="66" t="s">
        <v>9</v>
      </c>
      <c r="H9" s="67"/>
      <c r="I9" s="51"/>
    </row>
    <row r="10" spans="2:9" s="7" customFormat="1" ht="15.75" thickBot="1">
      <c r="B10" s="76"/>
      <c r="C10" s="77"/>
      <c r="D10" s="13" t="s">
        <v>10</v>
      </c>
      <c r="E10" s="13" t="s">
        <v>11</v>
      </c>
      <c r="F10" s="13" t="s">
        <v>10</v>
      </c>
      <c r="G10" s="13" t="s">
        <v>10</v>
      </c>
      <c r="H10" s="13" t="s">
        <v>11</v>
      </c>
      <c r="I10" s="51"/>
    </row>
    <row r="11" spans="2:9" s="7" customFormat="1" ht="15.75" thickBot="1">
      <c r="B11" s="14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52"/>
    </row>
    <row r="12" spans="2:9" s="7" customFormat="1" ht="15.75" thickBot="1">
      <c r="B12" s="61" t="s">
        <v>12</v>
      </c>
      <c r="C12" s="62"/>
      <c r="D12" s="62"/>
      <c r="E12" s="62"/>
      <c r="F12" s="62"/>
      <c r="G12" s="62"/>
      <c r="H12" s="63"/>
      <c r="I12" s="53"/>
    </row>
    <row r="13" spans="2:9" s="7" customFormat="1" ht="15.75" thickBot="1">
      <c r="B13" s="16">
        <v>1.1000000000000001</v>
      </c>
      <c r="C13" s="17" t="s">
        <v>13</v>
      </c>
      <c r="D13" s="18">
        <v>0</v>
      </c>
      <c r="E13" s="18">
        <f>D13/$E$8</f>
        <v>0</v>
      </c>
      <c r="F13" s="18">
        <f>D13*$H$7</f>
        <v>0</v>
      </c>
      <c r="G13" s="18">
        <f>D13+F13</f>
        <v>0</v>
      </c>
      <c r="H13" s="18">
        <f>G13/$E$8</f>
        <v>0</v>
      </c>
      <c r="I13" s="54"/>
    </row>
    <row r="14" spans="2:9" s="7" customFormat="1" ht="15.75" thickBot="1">
      <c r="B14" s="16">
        <v>1.2</v>
      </c>
      <c r="C14" s="17" t="s">
        <v>14</v>
      </c>
      <c r="D14" s="3">
        <v>0</v>
      </c>
      <c r="E14" s="18">
        <f>D14/$E$8</f>
        <v>0</v>
      </c>
      <c r="F14" s="18">
        <f>D14*$H$7</f>
        <v>0</v>
      </c>
      <c r="G14" s="18">
        <f>D14+F14</f>
        <v>0</v>
      </c>
      <c r="H14" s="18">
        <f>G14/$E$8</f>
        <v>0</v>
      </c>
      <c r="I14" s="54"/>
    </row>
    <row r="15" spans="2:9" s="7" customFormat="1" ht="26.25" thickBot="1">
      <c r="B15" s="16">
        <v>1.3</v>
      </c>
      <c r="C15" s="17" t="s">
        <v>15</v>
      </c>
      <c r="D15" s="18">
        <v>0</v>
      </c>
      <c r="E15" s="18">
        <f>D15/$E$8</f>
        <v>0</v>
      </c>
      <c r="F15" s="18">
        <f>D15*$H$7</f>
        <v>0</v>
      </c>
      <c r="G15" s="18">
        <f>D15+F15</f>
        <v>0</v>
      </c>
      <c r="H15" s="18">
        <f>G15/$E$8</f>
        <v>0</v>
      </c>
      <c r="I15" s="54"/>
    </row>
    <row r="16" spans="2:9" s="7" customFormat="1" ht="15.75" thickBot="1">
      <c r="B16" s="16">
        <v>1.4</v>
      </c>
      <c r="C16" s="17" t="s">
        <v>16</v>
      </c>
      <c r="D16" s="18">
        <v>0</v>
      </c>
      <c r="E16" s="18">
        <f>D16/$E$8</f>
        <v>0</v>
      </c>
      <c r="F16" s="18">
        <f>D16*$H$7</f>
        <v>0</v>
      </c>
      <c r="G16" s="18">
        <f>D16+F16</f>
        <v>0</v>
      </c>
      <c r="H16" s="18">
        <f>G16/$E$8</f>
        <v>0</v>
      </c>
      <c r="I16" s="54"/>
    </row>
    <row r="17" spans="2:11" s="7" customFormat="1" ht="15.75" thickBot="1">
      <c r="B17" s="59" t="s">
        <v>17</v>
      </c>
      <c r="C17" s="60"/>
      <c r="D17" s="19">
        <f>SUM(D13:D16)</f>
        <v>0</v>
      </c>
      <c r="E17" s="19">
        <f>SUM(E13:E16)</f>
        <v>0</v>
      </c>
      <c r="F17" s="19">
        <f>SUM(F13:F16)</f>
        <v>0</v>
      </c>
      <c r="G17" s="19">
        <f>SUM(G13:G16)</f>
        <v>0</v>
      </c>
      <c r="H17" s="19">
        <f>SUM(H13:H16)</f>
        <v>0</v>
      </c>
      <c r="I17" s="55"/>
    </row>
    <row r="18" spans="2:11" s="7" customFormat="1" ht="15.75" thickBot="1">
      <c r="B18" s="61" t="s">
        <v>18</v>
      </c>
      <c r="C18" s="62"/>
      <c r="D18" s="62"/>
      <c r="E18" s="62"/>
      <c r="F18" s="62"/>
      <c r="G18" s="62"/>
      <c r="H18" s="63"/>
      <c r="I18" s="53"/>
    </row>
    <row r="19" spans="2:11" s="7" customFormat="1" ht="15.75" thickBot="1">
      <c r="B19" s="16">
        <v>2.1</v>
      </c>
      <c r="C19" s="20" t="s">
        <v>19</v>
      </c>
      <c r="D19" s="18">
        <v>0</v>
      </c>
      <c r="E19" s="18">
        <f>D19/$E$8</f>
        <v>0</v>
      </c>
      <c r="F19" s="18">
        <f>D19*$H$7</f>
        <v>0</v>
      </c>
      <c r="G19" s="18">
        <f>D19+F19</f>
        <v>0</v>
      </c>
      <c r="H19" s="18">
        <f>G19/$E$8</f>
        <v>0</v>
      </c>
      <c r="I19" s="54"/>
    </row>
    <row r="20" spans="2:11" s="7" customFormat="1" ht="15.75" thickBot="1">
      <c r="B20" s="59" t="s">
        <v>20</v>
      </c>
      <c r="C20" s="60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55"/>
    </row>
    <row r="21" spans="2:11" ht="15.75" thickBot="1">
      <c r="B21" s="61" t="s">
        <v>21</v>
      </c>
      <c r="C21" s="62"/>
      <c r="D21" s="62"/>
      <c r="E21" s="62"/>
      <c r="F21" s="62"/>
      <c r="G21" s="62"/>
      <c r="H21" s="63"/>
      <c r="I21" s="53"/>
    </row>
    <row r="22" spans="2:11" ht="15.75" thickBot="1">
      <c r="B22" s="16">
        <v>3.1</v>
      </c>
      <c r="C22" s="20" t="s">
        <v>22</v>
      </c>
      <c r="D22" s="18">
        <v>0</v>
      </c>
      <c r="E22" s="18">
        <f>D22/$E$8</f>
        <v>0</v>
      </c>
      <c r="F22" s="18">
        <f>D22*$H$7</f>
        <v>0</v>
      </c>
      <c r="G22" s="18">
        <f t="shared" ref="G22:G47" si="0">D22+F22</f>
        <v>0</v>
      </c>
      <c r="H22" s="18">
        <f t="shared" ref="H22:H47" si="1">G22/$E$8</f>
        <v>0</v>
      </c>
      <c r="I22" s="54"/>
      <c r="J22" s="6"/>
      <c r="K22" s="30">
        <v>3.4258093325599939E-2</v>
      </c>
    </row>
    <row r="23" spans="2:11" ht="15.75" thickBot="1">
      <c r="B23" s="16" t="s">
        <v>23</v>
      </c>
      <c r="C23" s="20" t="s">
        <v>24</v>
      </c>
      <c r="D23" s="18">
        <v>0</v>
      </c>
      <c r="E23" s="18">
        <f t="shared" ref="E23:E77" si="2">D23/$E$8</f>
        <v>0</v>
      </c>
      <c r="F23" s="18">
        <f t="shared" ref="F23:F47" si="3">D23*$H$7</f>
        <v>0</v>
      </c>
      <c r="G23" s="18">
        <f t="shared" si="0"/>
        <v>0</v>
      </c>
      <c r="H23" s="18">
        <f t="shared" si="1"/>
        <v>0</v>
      </c>
      <c r="I23" s="54"/>
      <c r="K23" s="30"/>
    </row>
    <row r="24" spans="2:11" ht="15.75" thickBot="1">
      <c r="B24" s="16" t="s">
        <v>25</v>
      </c>
      <c r="C24" s="20" t="s">
        <v>26</v>
      </c>
      <c r="D24" s="18">
        <v>0</v>
      </c>
      <c r="E24" s="18">
        <f t="shared" si="2"/>
        <v>0</v>
      </c>
      <c r="F24" s="18">
        <f t="shared" si="3"/>
        <v>0</v>
      </c>
      <c r="G24" s="18">
        <f t="shared" si="0"/>
        <v>0</v>
      </c>
      <c r="H24" s="18">
        <f t="shared" si="1"/>
        <v>0</v>
      </c>
      <c r="I24" s="54"/>
      <c r="K24" s="30"/>
    </row>
    <row r="25" spans="2:11" ht="15.75" thickBot="1">
      <c r="B25" s="16" t="s">
        <v>27</v>
      </c>
      <c r="C25" s="20" t="s">
        <v>28</v>
      </c>
      <c r="D25" s="18">
        <v>0</v>
      </c>
      <c r="E25" s="18">
        <f t="shared" si="2"/>
        <v>0</v>
      </c>
      <c r="F25" s="18">
        <f t="shared" si="3"/>
        <v>0</v>
      </c>
      <c r="G25" s="18">
        <f t="shared" si="0"/>
        <v>0</v>
      </c>
      <c r="H25" s="18">
        <f t="shared" si="1"/>
        <v>0</v>
      </c>
      <c r="I25" s="54"/>
      <c r="K25" s="30"/>
    </row>
    <row r="26" spans="2:11" ht="15.75" thickBot="1">
      <c r="B26" s="16" t="s">
        <v>29</v>
      </c>
      <c r="C26" s="20" t="s">
        <v>30</v>
      </c>
      <c r="D26" s="18">
        <v>0</v>
      </c>
      <c r="E26" s="18">
        <f t="shared" si="2"/>
        <v>0</v>
      </c>
      <c r="F26" s="18">
        <f t="shared" si="3"/>
        <v>0</v>
      </c>
      <c r="G26" s="18">
        <f t="shared" si="0"/>
        <v>0</v>
      </c>
      <c r="H26" s="18">
        <f t="shared" si="1"/>
        <v>0</v>
      </c>
      <c r="I26" s="54"/>
      <c r="K26" s="30"/>
    </row>
    <row r="27" spans="2:11" ht="15.75" thickBot="1">
      <c r="B27" s="16" t="s">
        <v>31</v>
      </c>
      <c r="C27" s="20" t="s">
        <v>32</v>
      </c>
      <c r="D27" s="18">
        <v>0</v>
      </c>
      <c r="E27" s="18">
        <f t="shared" si="2"/>
        <v>0</v>
      </c>
      <c r="F27" s="18">
        <f t="shared" si="3"/>
        <v>0</v>
      </c>
      <c r="G27" s="18">
        <f t="shared" si="0"/>
        <v>0</v>
      </c>
      <c r="H27" s="18">
        <f t="shared" si="1"/>
        <v>0</v>
      </c>
      <c r="I27" s="54"/>
      <c r="K27" s="30"/>
    </row>
    <row r="28" spans="2:11" ht="26.25" thickBot="1">
      <c r="B28" s="16" t="s">
        <v>33</v>
      </c>
      <c r="C28" s="17" t="s">
        <v>34</v>
      </c>
      <c r="D28" s="18">
        <v>0</v>
      </c>
      <c r="E28" s="18">
        <f t="shared" si="2"/>
        <v>0</v>
      </c>
      <c r="F28" s="18">
        <f t="shared" si="3"/>
        <v>0</v>
      </c>
      <c r="G28" s="18">
        <f t="shared" si="0"/>
        <v>0</v>
      </c>
      <c r="H28" s="18">
        <f t="shared" si="1"/>
        <v>0</v>
      </c>
      <c r="I28" s="54"/>
      <c r="K28" s="30"/>
    </row>
    <row r="29" spans="2:11" ht="26.25" thickBot="1">
      <c r="B29" s="16">
        <v>3.2</v>
      </c>
      <c r="C29" s="17" t="s">
        <v>35</v>
      </c>
      <c r="D29" s="18">
        <v>5</v>
      </c>
      <c r="E29" s="18">
        <f t="shared" si="2"/>
        <v>1.1068803683697865</v>
      </c>
      <c r="F29" s="18">
        <f t="shared" si="3"/>
        <v>0.95</v>
      </c>
      <c r="G29" s="18">
        <f t="shared" si="0"/>
        <v>5.95</v>
      </c>
      <c r="H29" s="18">
        <f t="shared" si="1"/>
        <v>1.317187638360046</v>
      </c>
      <c r="I29" s="54"/>
      <c r="K29" s="30"/>
    </row>
    <row r="30" spans="2:11" ht="15.75" thickBot="1">
      <c r="B30" s="16">
        <v>3.3</v>
      </c>
      <c r="C30" s="17" t="s">
        <v>36</v>
      </c>
      <c r="D30" s="18">
        <v>5</v>
      </c>
      <c r="E30" s="18">
        <f t="shared" si="2"/>
        <v>1.1068803683697865</v>
      </c>
      <c r="F30" s="18">
        <f t="shared" si="3"/>
        <v>0.95</v>
      </c>
      <c r="G30" s="18">
        <f t="shared" si="0"/>
        <v>5.95</v>
      </c>
      <c r="H30" s="18">
        <f t="shared" si="1"/>
        <v>1.317187638360046</v>
      </c>
      <c r="I30" s="54"/>
      <c r="K30" s="30"/>
    </row>
    <row r="31" spans="2:11" ht="26.25" thickBot="1">
      <c r="B31" s="16">
        <v>3.4</v>
      </c>
      <c r="C31" s="17" t="s">
        <v>37</v>
      </c>
      <c r="D31" s="18">
        <v>5</v>
      </c>
      <c r="E31" s="18">
        <f t="shared" si="2"/>
        <v>1.1068803683697865</v>
      </c>
      <c r="F31" s="18">
        <f t="shared" si="3"/>
        <v>0.95</v>
      </c>
      <c r="G31" s="18">
        <f t="shared" si="0"/>
        <v>5.95</v>
      </c>
      <c r="H31" s="18">
        <f t="shared" si="1"/>
        <v>1.317187638360046</v>
      </c>
      <c r="I31" s="54"/>
      <c r="K31" s="30"/>
    </row>
    <row r="32" spans="2:11" ht="15.75" thickBot="1">
      <c r="B32" s="16">
        <v>3.5</v>
      </c>
      <c r="C32" s="20" t="s">
        <v>38</v>
      </c>
      <c r="D32" s="18">
        <f>3%*D58</f>
        <v>23.424468457919996</v>
      </c>
      <c r="E32" s="18">
        <f t="shared" si="2"/>
        <v>5.1856168551137864</v>
      </c>
      <c r="F32" s="18">
        <f t="shared" si="3"/>
        <v>4.4506490070047997</v>
      </c>
      <c r="G32" s="18">
        <f t="shared" si="0"/>
        <v>27.875117464924795</v>
      </c>
      <c r="H32" s="18">
        <f t="shared" si="1"/>
        <v>6.1708840575854058</v>
      </c>
      <c r="I32" s="54"/>
      <c r="K32" s="30"/>
    </row>
    <row r="33" spans="2:11" ht="15.75" thickBot="1">
      <c r="B33" s="16" t="s">
        <v>39</v>
      </c>
      <c r="C33" s="20" t="s">
        <v>40</v>
      </c>
      <c r="D33" s="18">
        <v>0</v>
      </c>
      <c r="E33" s="18">
        <f t="shared" si="2"/>
        <v>0</v>
      </c>
      <c r="F33" s="18">
        <f t="shared" si="3"/>
        <v>0</v>
      </c>
      <c r="G33" s="18">
        <f t="shared" si="0"/>
        <v>0</v>
      </c>
      <c r="H33" s="18">
        <f t="shared" si="1"/>
        <v>0</v>
      </c>
      <c r="I33" s="54"/>
      <c r="K33" s="30"/>
    </row>
    <row r="34" spans="2:11" ht="15.75" thickBot="1">
      <c r="B34" s="16" t="s">
        <v>41</v>
      </c>
      <c r="C34" s="20" t="s">
        <v>42</v>
      </c>
      <c r="D34" s="18">
        <v>0</v>
      </c>
      <c r="E34" s="18">
        <f t="shared" si="2"/>
        <v>0</v>
      </c>
      <c r="F34" s="18">
        <f t="shared" si="3"/>
        <v>0</v>
      </c>
      <c r="G34" s="18">
        <f t="shared" si="0"/>
        <v>0</v>
      </c>
      <c r="H34" s="18">
        <f t="shared" si="1"/>
        <v>0</v>
      </c>
      <c r="I34" s="54"/>
      <c r="K34" s="30"/>
    </row>
    <row r="35" spans="2:11" ht="26.25" thickBot="1">
      <c r="B35" s="16" t="s">
        <v>43</v>
      </c>
      <c r="C35" s="17" t="s">
        <v>44</v>
      </c>
      <c r="D35" s="18">
        <f>D58*0.67%</f>
        <v>5.2314646222687999</v>
      </c>
      <c r="E35" s="18">
        <f t="shared" si="2"/>
        <v>1.1581210976420793</v>
      </c>
      <c r="F35" s="18">
        <f t="shared" si="3"/>
        <v>0.99397827823107199</v>
      </c>
      <c r="G35" s="18">
        <f t="shared" si="0"/>
        <v>6.2254429004998721</v>
      </c>
      <c r="H35" s="18">
        <f t="shared" si="1"/>
        <v>1.3781641061940744</v>
      </c>
      <c r="I35" s="54"/>
      <c r="J35" s="6"/>
      <c r="K35" s="30"/>
    </row>
    <row r="36" spans="2:11" ht="26.25" thickBot="1">
      <c r="B36" s="16" t="s">
        <v>45</v>
      </c>
      <c r="C36" s="17" t="s">
        <v>46</v>
      </c>
      <c r="D36" s="18">
        <f>0.1%*D58+1.65</f>
        <v>2.4308156152639997</v>
      </c>
      <c r="E36" s="18">
        <f t="shared" si="2"/>
        <v>0.53812441673248912</v>
      </c>
      <c r="F36" s="18">
        <f t="shared" si="3"/>
        <v>0.46185496690015992</v>
      </c>
      <c r="G36" s="18">
        <f t="shared" si="0"/>
        <v>2.8926705821641594</v>
      </c>
      <c r="H36" s="18">
        <f t="shared" si="1"/>
        <v>0.64036805591166202</v>
      </c>
      <c r="I36" s="54"/>
      <c r="J36" s="6"/>
      <c r="K36" s="30"/>
    </row>
    <row r="37" spans="2:11" ht="26.25" thickBot="1">
      <c r="B37" s="16" t="s">
        <v>47</v>
      </c>
      <c r="C37" s="17" t="s">
        <v>48</v>
      </c>
      <c r="D37" s="18">
        <f>0.4%*D58</f>
        <v>3.1232624610559996</v>
      </c>
      <c r="E37" s="18">
        <f t="shared" si="2"/>
        <v>0.69141558068183828</v>
      </c>
      <c r="F37" s="18">
        <f t="shared" si="3"/>
        <v>0.59341986760063992</v>
      </c>
      <c r="G37" s="18">
        <f t="shared" si="0"/>
        <v>3.7166823286566393</v>
      </c>
      <c r="H37" s="18">
        <f t="shared" si="1"/>
        <v>0.82278454101138743</v>
      </c>
      <c r="I37" s="54"/>
      <c r="J37" s="6"/>
      <c r="K37" s="30"/>
    </row>
    <row r="38" spans="2:11" ht="15.75" thickBot="1">
      <c r="B38" s="16" t="s">
        <v>49</v>
      </c>
      <c r="C38" s="20" t="s">
        <v>50</v>
      </c>
      <c r="D38" s="18">
        <f>D32-D33-D34-D35-D36-D37</f>
        <v>12.638925759331199</v>
      </c>
      <c r="E38" s="18">
        <f t="shared" si="2"/>
        <v>2.7979557600573806</v>
      </c>
      <c r="F38" s="18">
        <f t="shared" si="3"/>
        <v>2.4013958942729281</v>
      </c>
      <c r="G38" s="18">
        <f t="shared" si="0"/>
        <v>15.040321653604128</v>
      </c>
      <c r="H38" s="18">
        <f t="shared" si="1"/>
        <v>3.3295673544682831</v>
      </c>
      <c r="I38" s="54"/>
      <c r="J38" s="6"/>
      <c r="K38" s="30"/>
    </row>
    <row r="39" spans="2:11" ht="15.75" thickBot="1">
      <c r="B39" s="16">
        <v>3.6</v>
      </c>
      <c r="C39" s="20" t="s">
        <v>51</v>
      </c>
      <c r="D39" s="18">
        <v>0</v>
      </c>
      <c r="E39" s="18">
        <f t="shared" si="2"/>
        <v>0</v>
      </c>
      <c r="F39" s="18">
        <f t="shared" si="3"/>
        <v>0</v>
      </c>
      <c r="G39" s="18">
        <f t="shared" si="0"/>
        <v>0</v>
      </c>
      <c r="H39" s="18">
        <f t="shared" si="1"/>
        <v>0</v>
      </c>
      <c r="I39" s="54"/>
      <c r="K39" s="30"/>
    </row>
    <row r="40" spans="2:11" ht="15.75" thickBot="1">
      <c r="B40" s="16">
        <v>3.7</v>
      </c>
      <c r="C40" s="20" t="s">
        <v>52</v>
      </c>
      <c r="D40" s="18">
        <f>D41+D42</f>
        <v>1.5</v>
      </c>
      <c r="E40" s="18">
        <f t="shared" si="2"/>
        <v>0.33206411051093598</v>
      </c>
      <c r="F40" s="18">
        <f t="shared" si="3"/>
        <v>0.28500000000000003</v>
      </c>
      <c r="G40" s="18">
        <f t="shared" si="0"/>
        <v>1.7850000000000001</v>
      </c>
      <c r="H40" s="18">
        <f t="shared" si="1"/>
        <v>0.39515629150801385</v>
      </c>
      <c r="I40" s="54"/>
      <c r="J40" s="6"/>
      <c r="K40" s="30"/>
    </row>
    <row r="41" spans="2:11" ht="26.25" thickBot="1">
      <c r="B41" s="16" t="s">
        <v>53</v>
      </c>
      <c r="C41" s="17" t="s">
        <v>54</v>
      </c>
      <c r="D41" s="18"/>
      <c r="E41" s="18">
        <f t="shared" si="2"/>
        <v>0</v>
      </c>
      <c r="F41" s="18">
        <f t="shared" si="3"/>
        <v>0</v>
      </c>
      <c r="G41" s="18">
        <f t="shared" si="0"/>
        <v>0</v>
      </c>
      <c r="H41" s="18">
        <f t="shared" si="1"/>
        <v>0</v>
      </c>
      <c r="I41" s="54"/>
      <c r="J41" s="6"/>
      <c r="K41" s="30">
        <v>5.9579292740173807E-3</v>
      </c>
    </row>
    <row r="42" spans="2:11" ht="15.75" thickBot="1">
      <c r="B42" s="16" t="s">
        <v>55</v>
      </c>
      <c r="C42" s="17" t="s">
        <v>56</v>
      </c>
      <c r="D42" s="18">
        <v>1.5</v>
      </c>
      <c r="E42" s="18">
        <f t="shared" si="2"/>
        <v>0.33206411051093598</v>
      </c>
      <c r="F42" s="18"/>
      <c r="G42" s="18">
        <f t="shared" si="0"/>
        <v>1.5</v>
      </c>
      <c r="H42" s="18">
        <f t="shared" si="1"/>
        <v>0.33206411051093598</v>
      </c>
      <c r="I42" s="54"/>
      <c r="J42" s="6"/>
      <c r="K42" s="30">
        <v>2.9789646370086903E-3</v>
      </c>
    </row>
    <row r="43" spans="2:11" ht="15.75" thickBot="1">
      <c r="B43" s="16">
        <v>3.8</v>
      </c>
      <c r="C43" s="17" t="s">
        <v>57</v>
      </c>
      <c r="D43" s="18">
        <f>1.5%*$D$58</f>
        <v>11.712234228959998</v>
      </c>
      <c r="E43" s="18">
        <f t="shared" si="2"/>
        <v>2.5928084275568932</v>
      </c>
      <c r="F43" s="18">
        <f t="shared" si="3"/>
        <v>2.2253245035023999</v>
      </c>
      <c r="G43" s="18">
        <f t="shared" si="0"/>
        <v>13.937558732462398</v>
      </c>
      <c r="H43" s="18">
        <f t="shared" si="1"/>
        <v>3.0854420287927029</v>
      </c>
      <c r="I43" s="54"/>
      <c r="J43" s="6"/>
      <c r="K43" s="30">
        <v>1.4999999999999999E-2</v>
      </c>
    </row>
    <row r="44" spans="2:11" ht="15.75" thickBot="1">
      <c r="B44" s="16" t="s">
        <v>58</v>
      </c>
      <c r="C44" s="17" t="s">
        <v>59</v>
      </c>
      <c r="D44" s="18">
        <f>0.5%*$D$58</f>
        <v>3.9040780763199998</v>
      </c>
      <c r="E44" s="18">
        <f t="shared" si="2"/>
        <v>0.86426947585229785</v>
      </c>
      <c r="F44" s="18">
        <f t="shared" si="3"/>
        <v>0.74177483450079995</v>
      </c>
      <c r="G44" s="18">
        <f t="shared" si="0"/>
        <v>4.6458529108207998</v>
      </c>
      <c r="H44" s="18">
        <f t="shared" si="1"/>
        <v>1.0284806762642345</v>
      </c>
      <c r="I44" s="54"/>
      <c r="J44" s="6"/>
      <c r="K44" s="30">
        <v>5.0000000000000001E-3</v>
      </c>
    </row>
    <row r="45" spans="2:11" ht="15.75" thickBot="1">
      <c r="B45" s="16" t="s">
        <v>60</v>
      </c>
      <c r="C45" s="17" t="s">
        <v>61</v>
      </c>
      <c r="D45" s="18">
        <f>0.35%*$D$58</f>
        <v>2.7328546534239995</v>
      </c>
      <c r="E45" s="18">
        <f t="shared" si="2"/>
        <v>0.60498863309660844</v>
      </c>
      <c r="F45" s="18">
        <f t="shared" si="3"/>
        <v>0.5192423841505599</v>
      </c>
      <c r="G45" s="18">
        <f t="shared" si="0"/>
        <v>3.2520970375745595</v>
      </c>
      <c r="H45" s="18">
        <f t="shared" si="1"/>
        <v>0.71993647338496403</v>
      </c>
      <c r="I45" s="54"/>
      <c r="J45" s="6"/>
      <c r="K45" s="30">
        <v>3.5000000000000001E-3</v>
      </c>
    </row>
    <row r="46" spans="2:11" ht="51.75" thickBot="1">
      <c r="B46" s="16" t="s">
        <v>62</v>
      </c>
      <c r="C46" s="17" t="s">
        <v>63</v>
      </c>
      <c r="D46" s="18">
        <f>0.15%*$D$58</f>
        <v>1.1712234228959999</v>
      </c>
      <c r="E46" s="18">
        <f t="shared" si="2"/>
        <v>0.25928084275568936</v>
      </c>
      <c r="F46" s="18">
        <f t="shared" si="3"/>
        <v>0.22253245035024</v>
      </c>
      <c r="G46" s="18">
        <f t="shared" si="0"/>
        <v>1.3937558732462398</v>
      </c>
      <c r="H46" s="18">
        <f t="shared" si="1"/>
        <v>0.30854420287927031</v>
      </c>
      <c r="I46" s="54"/>
      <c r="J46" s="6"/>
      <c r="K46" s="30">
        <v>1.5E-3</v>
      </c>
    </row>
    <row r="47" spans="2:11" ht="15.75" thickBot="1">
      <c r="B47" s="16" t="s">
        <v>64</v>
      </c>
      <c r="C47" s="20" t="s">
        <v>65</v>
      </c>
      <c r="D47" s="18">
        <f>1%*$D$58</f>
        <v>7.8081561526399996</v>
      </c>
      <c r="E47" s="18">
        <f t="shared" si="2"/>
        <v>1.7285389517045957</v>
      </c>
      <c r="F47" s="18">
        <f t="shared" si="3"/>
        <v>1.4835496690015999</v>
      </c>
      <c r="G47" s="18">
        <f t="shared" si="0"/>
        <v>9.2917058216415995</v>
      </c>
      <c r="H47" s="18">
        <f t="shared" si="1"/>
        <v>2.0569613525284689</v>
      </c>
      <c r="I47" s="54"/>
      <c r="J47" s="6"/>
      <c r="K47" s="30">
        <v>0.01</v>
      </c>
    </row>
    <row r="48" spans="2:11" ht="15.75" thickBot="1">
      <c r="B48" s="59" t="s">
        <v>66</v>
      </c>
      <c r="C48" s="60"/>
      <c r="D48" s="19">
        <f>D22+D29+D30+D31+D32+D39+D40+D43</f>
        <v>51.63670268688</v>
      </c>
      <c r="E48" s="19">
        <f t="shared" si="2"/>
        <v>11.431130498290976</v>
      </c>
      <c r="F48" s="19">
        <f>F22+F29+F30+F31+F32+F39+F40+F43</f>
        <v>9.8109735105071998</v>
      </c>
      <c r="G48" s="19">
        <f>D48+F48</f>
        <v>61.447676197387196</v>
      </c>
      <c r="H48" s="19">
        <f>G48/$E$8</f>
        <v>13.603045292966261</v>
      </c>
      <c r="I48" s="55"/>
    </row>
    <row r="49" spans="2:11" ht="15.75" thickBot="1">
      <c r="B49" s="61" t="s">
        <v>67</v>
      </c>
      <c r="C49" s="62"/>
      <c r="D49" s="62"/>
      <c r="E49" s="62"/>
      <c r="F49" s="62"/>
      <c r="G49" s="62"/>
      <c r="H49" s="63"/>
      <c r="I49" s="53"/>
    </row>
    <row r="50" spans="2:11" ht="15.75" thickBot="1">
      <c r="B50" s="23">
        <v>4.0999999999999996</v>
      </c>
      <c r="C50" s="24" t="s">
        <v>68</v>
      </c>
      <c r="D50" s="21">
        <f>SUM(D51:D52)</f>
        <v>475.91277499999995</v>
      </c>
      <c r="E50" s="21">
        <f t="shared" si="2"/>
        <v>105.35570154077746</v>
      </c>
      <c r="F50" s="21">
        <f>SUM(F51:F52)</f>
        <v>90.423427249999989</v>
      </c>
      <c r="G50" s="21">
        <f t="shared" ref="G50:G58" si="4">D50+F50</f>
        <v>566.33620224999993</v>
      </c>
      <c r="H50" s="21">
        <f t="shared" ref="H50:H77" si="5">G50/$E$8</f>
        <v>125.37328483352518</v>
      </c>
      <c r="I50" s="56"/>
    </row>
    <row r="51" spans="2:11" ht="26.25" thickBot="1">
      <c r="B51" s="16" t="s">
        <v>69</v>
      </c>
      <c r="C51" s="25" t="s">
        <v>94</v>
      </c>
      <c r="D51" s="18">
        <f>J51/1000</f>
        <v>436.28851499999996</v>
      </c>
      <c r="E51" s="18">
        <f t="shared" si="2"/>
        <v>96.583838439741427</v>
      </c>
      <c r="F51" s="18">
        <f t="shared" ref="F51:F57" si="6">D51*$H$7</f>
        <v>82.894817849999995</v>
      </c>
      <c r="G51" s="18">
        <f t="shared" si="4"/>
        <v>519.18333284999994</v>
      </c>
      <c r="H51" s="18">
        <f t="shared" si="5"/>
        <v>114.9347677432923</v>
      </c>
      <c r="I51" s="54"/>
      <c r="J51" s="29">
        <v>436288.51499999996</v>
      </c>
    </row>
    <row r="52" spans="2:11" ht="26.25" thickBot="1">
      <c r="B52" s="16" t="s">
        <v>70</v>
      </c>
      <c r="C52" s="25" t="s">
        <v>95</v>
      </c>
      <c r="D52" s="18">
        <f>J52/1000</f>
        <v>39.62426</v>
      </c>
      <c r="E52" s="18">
        <f t="shared" si="2"/>
        <v>8.7718631010360397</v>
      </c>
      <c r="F52" s="18">
        <f t="shared" si="6"/>
        <v>7.5286093999999997</v>
      </c>
      <c r="G52" s="18">
        <f t="shared" si="4"/>
        <v>47.1528694</v>
      </c>
      <c r="H52" s="18">
        <f t="shared" si="5"/>
        <v>10.438517090232889</v>
      </c>
      <c r="I52" s="54"/>
      <c r="J52" s="29">
        <v>39624.26</v>
      </c>
    </row>
    <row r="53" spans="2:11" ht="26.25" thickBot="1">
      <c r="B53" s="23">
        <v>4.2</v>
      </c>
      <c r="C53" s="27" t="s">
        <v>71</v>
      </c>
      <c r="D53" s="21">
        <f>J54*2%/1000</f>
        <v>5.9784870640000003</v>
      </c>
      <c r="E53" s="18">
        <f t="shared" si="2"/>
        <v>1.3234939927388649</v>
      </c>
      <c r="F53" s="18">
        <f t="shared" si="6"/>
        <v>1.13591254216</v>
      </c>
      <c r="G53" s="18">
        <f t="shared" si="4"/>
        <v>7.1143996061600001</v>
      </c>
      <c r="H53" s="18">
        <f t="shared" si="5"/>
        <v>1.5749578513592493</v>
      </c>
      <c r="I53" s="54"/>
      <c r="J53" s="47">
        <v>5978.4870639999999</v>
      </c>
    </row>
    <row r="54" spans="2:11" ht="26.25" thickBot="1">
      <c r="B54" s="23">
        <v>4.3</v>
      </c>
      <c r="C54" s="27" t="s">
        <v>72</v>
      </c>
      <c r="D54" s="21">
        <f>J54/1000</f>
        <v>298.92435319999998</v>
      </c>
      <c r="E54" s="18">
        <f t="shared" si="2"/>
        <v>66.174699636943231</v>
      </c>
      <c r="F54" s="18">
        <f t="shared" si="6"/>
        <v>56.795627107999998</v>
      </c>
      <c r="G54" s="18">
        <f t="shared" si="4"/>
        <v>355.719980308</v>
      </c>
      <c r="H54" s="18">
        <f t="shared" si="5"/>
        <v>78.747892567962452</v>
      </c>
      <c r="I54" s="54"/>
      <c r="J54" s="28">
        <v>298924.35320000001</v>
      </c>
    </row>
    <row r="55" spans="2:11" ht="39" thickBot="1">
      <c r="B55" s="23">
        <v>4.4000000000000004</v>
      </c>
      <c r="C55" s="27" t="s">
        <v>73</v>
      </c>
      <c r="D55" s="21">
        <v>0</v>
      </c>
      <c r="E55" s="18">
        <f t="shared" si="2"/>
        <v>0</v>
      </c>
      <c r="F55" s="18">
        <f t="shared" si="6"/>
        <v>0</v>
      </c>
      <c r="G55" s="18">
        <f t="shared" si="4"/>
        <v>0</v>
      </c>
      <c r="H55" s="18">
        <f t="shared" si="5"/>
        <v>0</v>
      </c>
      <c r="I55" s="54"/>
    </row>
    <row r="56" spans="2:11" ht="15.75" thickBot="1">
      <c r="B56" s="23">
        <v>4.5</v>
      </c>
      <c r="C56" s="27" t="s">
        <v>74</v>
      </c>
      <c r="D56" s="21">
        <v>0</v>
      </c>
      <c r="E56" s="18">
        <f t="shared" si="2"/>
        <v>0</v>
      </c>
      <c r="F56" s="18">
        <f t="shared" si="6"/>
        <v>0</v>
      </c>
      <c r="G56" s="18">
        <f t="shared" si="4"/>
        <v>0</v>
      </c>
      <c r="H56" s="18">
        <f t="shared" si="5"/>
        <v>0</v>
      </c>
      <c r="I56" s="54"/>
    </row>
    <row r="57" spans="2:11" ht="15.75" thickBot="1">
      <c r="B57" s="23">
        <v>4.5999999999999996</v>
      </c>
      <c r="C57" s="27" t="s">
        <v>75</v>
      </c>
      <c r="D57" s="21">
        <v>0</v>
      </c>
      <c r="E57" s="18">
        <f t="shared" si="2"/>
        <v>0</v>
      </c>
      <c r="F57" s="18">
        <f t="shared" si="6"/>
        <v>0</v>
      </c>
      <c r="G57" s="18">
        <f t="shared" si="4"/>
        <v>0</v>
      </c>
      <c r="H57" s="18">
        <f t="shared" si="5"/>
        <v>0</v>
      </c>
      <c r="I57" s="54"/>
    </row>
    <row r="58" spans="2:11" ht="15.75" thickBot="1">
      <c r="B58" s="59" t="s">
        <v>76</v>
      </c>
      <c r="C58" s="60"/>
      <c r="D58" s="19">
        <f>D50+D53+D54+D55+D56+D57</f>
        <v>780.81561526399992</v>
      </c>
      <c r="E58" s="19">
        <f t="shared" si="2"/>
        <v>172.85389517045957</v>
      </c>
      <c r="F58" s="19">
        <f>F50+F53+F54+F55+F56+F57</f>
        <v>148.35496690015998</v>
      </c>
      <c r="G58" s="19">
        <f t="shared" si="4"/>
        <v>929.1705821641599</v>
      </c>
      <c r="H58" s="19">
        <f t="shared" si="5"/>
        <v>205.69613525284689</v>
      </c>
      <c r="I58" s="55"/>
    </row>
    <row r="59" spans="2:11" s="7" customFormat="1" ht="15.75" thickBot="1">
      <c r="B59" s="61" t="s">
        <v>77</v>
      </c>
      <c r="C59" s="62"/>
      <c r="D59" s="62"/>
      <c r="E59" s="62"/>
      <c r="F59" s="62"/>
      <c r="G59" s="62"/>
      <c r="H59" s="63"/>
      <c r="I59" s="53"/>
    </row>
    <row r="60" spans="2:11" ht="15.75" thickBot="1">
      <c r="B60" s="23">
        <v>5.0999999999999996</v>
      </c>
      <c r="C60" s="24" t="s">
        <v>78</v>
      </c>
      <c r="D60" s="21">
        <f>D61+D62</f>
        <v>19.520390381599999</v>
      </c>
      <c r="E60" s="21">
        <f t="shared" si="2"/>
        <v>4.3213473792614892</v>
      </c>
      <c r="F60" s="21">
        <f>F61+F62</f>
        <v>3.7088741725039998</v>
      </c>
      <c r="G60" s="21">
        <f t="shared" ref="G60:G71" si="7">D60+F60</f>
        <v>23.229264554103999</v>
      </c>
      <c r="H60" s="21">
        <f t="shared" si="5"/>
        <v>5.1424033813211727</v>
      </c>
      <c r="I60" s="56"/>
      <c r="J60" s="6"/>
      <c r="K60" s="31">
        <v>0.01</v>
      </c>
    </row>
    <row r="61" spans="2:11" ht="26.25" thickBot="1">
      <c r="B61" s="16" t="s">
        <v>79</v>
      </c>
      <c r="C61" s="25" t="s">
        <v>80</v>
      </c>
      <c r="D61" s="18">
        <f>2.5%*D58</f>
        <v>19.520390381599999</v>
      </c>
      <c r="E61" s="18">
        <f t="shared" si="2"/>
        <v>4.3213473792614892</v>
      </c>
      <c r="F61" s="18">
        <f>D61*$H$7</f>
        <v>3.7088741725039998</v>
      </c>
      <c r="G61" s="18">
        <f t="shared" si="7"/>
        <v>23.229264554103999</v>
      </c>
      <c r="H61" s="18">
        <f t="shared" si="5"/>
        <v>5.1424033813211727</v>
      </c>
      <c r="I61" s="54"/>
      <c r="K61" s="31"/>
    </row>
    <row r="62" spans="2:11" ht="15.75" thickBot="1">
      <c r="B62" s="16" t="s">
        <v>81</v>
      </c>
      <c r="C62" s="26" t="s">
        <v>82</v>
      </c>
      <c r="D62" s="3">
        <v>0</v>
      </c>
      <c r="E62" s="18">
        <f t="shared" si="2"/>
        <v>0</v>
      </c>
      <c r="F62" s="18">
        <f>D62*$H$7</f>
        <v>0</v>
      </c>
      <c r="G62" s="18">
        <f t="shared" si="7"/>
        <v>0</v>
      </c>
      <c r="H62" s="18">
        <f t="shared" si="5"/>
        <v>0</v>
      </c>
      <c r="I62" s="54"/>
      <c r="K62" s="31"/>
    </row>
    <row r="63" spans="2:11" ht="15.75" thickBot="1">
      <c r="B63" s="16">
        <v>5.2</v>
      </c>
      <c r="C63" s="20" t="s">
        <v>83</v>
      </c>
      <c r="D63" s="33">
        <f>SUM(D64:D68)</f>
        <v>9.0939377017903986</v>
      </c>
      <c r="E63" s="18">
        <f t="shared" si="2"/>
        <v>2.0131802226579296</v>
      </c>
      <c r="F63" s="33">
        <v>0</v>
      </c>
      <c r="G63" s="18">
        <f t="shared" si="7"/>
        <v>9.0939377017903986</v>
      </c>
      <c r="H63" s="18">
        <f t="shared" si="5"/>
        <v>2.0131802226579296</v>
      </c>
      <c r="I63" s="54"/>
      <c r="J63" s="6"/>
      <c r="K63" s="31">
        <v>1.10855615244077E-2</v>
      </c>
    </row>
    <row r="64" spans="2:11" ht="26.25" thickBot="1">
      <c r="B64" s="16" t="s">
        <v>96</v>
      </c>
      <c r="C64" s="17" t="s">
        <v>101</v>
      </c>
      <c r="D64" s="33">
        <v>0</v>
      </c>
      <c r="E64" s="18">
        <f t="shared" si="2"/>
        <v>0</v>
      </c>
      <c r="F64" s="33">
        <v>0</v>
      </c>
      <c r="G64" s="18">
        <f t="shared" si="7"/>
        <v>0</v>
      </c>
      <c r="H64" s="18">
        <f t="shared" si="5"/>
        <v>0</v>
      </c>
      <c r="I64" s="54"/>
      <c r="J64" s="6"/>
      <c r="K64" s="31"/>
    </row>
    <row r="65" spans="2:11" ht="26.25" thickBot="1">
      <c r="B65" s="16" t="s">
        <v>97</v>
      </c>
      <c r="C65" s="17" t="s">
        <v>102</v>
      </c>
      <c r="D65" s="33">
        <f>0.5%*(D50+D69)</f>
        <v>2.7699716826319998</v>
      </c>
      <c r="E65" s="18">
        <f t="shared" si="2"/>
        <v>0.61320545528911707</v>
      </c>
      <c r="F65" s="33">
        <v>0</v>
      </c>
      <c r="G65" s="18">
        <f t="shared" si="7"/>
        <v>2.7699716826319998</v>
      </c>
      <c r="H65" s="18">
        <f t="shared" si="5"/>
        <v>0.61320545528911707</v>
      </c>
      <c r="I65" s="54"/>
      <c r="J65" s="6"/>
      <c r="K65" s="31"/>
    </row>
    <row r="66" spans="2:11" ht="39" thickBot="1">
      <c r="B66" s="16" t="s">
        <v>98</v>
      </c>
      <c r="C66" s="17" t="s">
        <v>103</v>
      </c>
      <c r="D66" s="33">
        <f>0.1%*(D50+D69)</f>
        <v>0.55399433652639996</v>
      </c>
      <c r="E66" s="18">
        <f t="shared" si="2"/>
        <v>0.12264109105782342</v>
      </c>
      <c r="F66" s="33">
        <v>0</v>
      </c>
      <c r="G66" s="18">
        <f t="shared" si="7"/>
        <v>0.55399433652639996</v>
      </c>
      <c r="H66" s="18">
        <f t="shared" si="5"/>
        <v>0.12264109105782342</v>
      </c>
      <c r="I66" s="54"/>
      <c r="J66" s="6"/>
      <c r="K66" s="31"/>
    </row>
    <row r="67" spans="2:11" ht="26.25" thickBot="1">
      <c r="B67" s="16" t="s">
        <v>99</v>
      </c>
      <c r="C67" s="17" t="s">
        <v>104</v>
      </c>
      <c r="D67" s="33">
        <f>0.5%*(D50+D69)</f>
        <v>2.7699716826319998</v>
      </c>
      <c r="E67" s="18">
        <f t="shared" si="2"/>
        <v>0.61320545528911707</v>
      </c>
      <c r="F67" s="33">
        <v>0</v>
      </c>
      <c r="G67" s="18">
        <f t="shared" si="7"/>
        <v>2.7699716826319998</v>
      </c>
      <c r="H67" s="18">
        <f t="shared" si="5"/>
        <v>0.61320545528911707</v>
      </c>
      <c r="I67" s="54"/>
      <c r="J67" s="6"/>
      <c r="K67" s="31"/>
    </row>
    <row r="68" spans="2:11" ht="26.25" thickBot="1">
      <c r="B68" s="16" t="s">
        <v>100</v>
      </c>
      <c r="C68" s="17" t="s">
        <v>105</v>
      </c>
      <c r="D68" s="33">
        <v>3</v>
      </c>
      <c r="E68" s="18">
        <f t="shared" si="2"/>
        <v>0.66412822102187197</v>
      </c>
      <c r="F68" s="33">
        <v>0</v>
      </c>
      <c r="G68" s="18">
        <f t="shared" si="7"/>
        <v>3</v>
      </c>
      <c r="H68" s="18">
        <f t="shared" si="5"/>
        <v>0.66412822102187197</v>
      </c>
      <c r="I68" s="54"/>
      <c r="J68" s="6"/>
      <c r="K68" s="31"/>
    </row>
    <row r="69" spans="2:11" ht="15.75" thickBot="1">
      <c r="B69" s="16">
        <v>5.3</v>
      </c>
      <c r="C69" s="20" t="s">
        <v>84</v>
      </c>
      <c r="D69" s="18">
        <f>10%*D58</f>
        <v>78.081561526399994</v>
      </c>
      <c r="E69" s="18">
        <f t="shared" si="2"/>
        <v>17.285389517045957</v>
      </c>
      <c r="F69" s="18">
        <f>D69*$H$7</f>
        <v>14.835496690015999</v>
      </c>
      <c r="G69" s="18">
        <f t="shared" si="7"/>
        <v>92.917058216415995</v>
      </c>
      <c r="H69" s="18">
        <f t="shared" si="5"/>
        <v>20.569613525284691</v>
      </c>
      <c r="I69" s="54"/>
      <c r="J69" s="6"/>
      <c r="K69" s="31">
        <v>0.1</v>
      </c>
    </row>
    <row r="70" spans="2:11" ht="15.75" thickBot="1">
      <c r="B70" s="16">
        <v>5.4</v>
      </c>
      <c r="C70" s="20" t="s">
        <v>85</v>
      </c>
      <c r="D70" s="18">
        <f>0.15%*D50</f>
        <v>0.71386916249999999</v>
      </c>
      <c r="E70" s="18">
        <f t="shared" si="2"/>
        <v>0.1580335523111662</v>
      </c>
      <c r="F70" s="18">
        <f>D70*$H$7</f>
        <v>0.135635140875</v>
      </c>
      <c r="G70" s="18">
        <f t="shared" si="7"/>
        <v>0.84950430337500005</v>
      </c>
      <c r="H70" s="18">
        <f t="shared" si="5"/>
        <v>0.18805992725028781</v>
      </c>
      <c r="I70" s="54"/>
      <c r="J70" s="6"/>
      <c r="K70" s="31">
        <v>1.4894823185043452E-3</v>
      </c>
    </row>
    <row r="71" spans="2:11" ht="15.75" thickBot="1">
      <c r="B71" s="59" t="s">
        <v>86</v>
      </c>
      <c r="C71" s="60"/>
      <c r="D71" s="19">
        <f>D60+D63+D69+D70</f>
        <v>107.40975877229039</v>
      </c>
      <c r="E71" s="19">
        <f t="shared" si="2"/>
        <v>23.777950671276542</v>
      </c>
      <c r="F71" s="19">
        <f>F60+F63+F69+F70</f>
        <v>18.680006003394997</v>
      </c>
      <c r="G71" s="19">
        <f t="shared" si="7"/>
        <v>126.08976477568538</v>
      </c>
      <c r="H71" s="19">
        <f t="shared" si="5"/>
        <v>27.913257056514077</v>
      </c>
      <c r="I71" s="55"/>
    </row>
    <row r="72" spans="2:11" ht="15.75" thickBot="1">
      <c r="B72" s="61" t="s">
        <v>87</v>
      </c>
      <c r="C72" s="62"/>
      <c r="D72" s="62"/>
      <c r="E72" s="62"/>
      <c r="F72" s="62"/>
      <c r="G72" s="62"/>
      <c r="H72" s="63"/>
      <c r="I72" s="53"/>
    </row>
    <row r="73" spans="2:11" ht="15.75" thickBot="1">
      <c r="B73" s="16">
        <v>6.1</v>
      </c>
      <c r="C73" s="20" t="s">
        <v>88</v>
      </c>
      <c r="D73" s="18">
        <v>5</v>
      </c>
      <c r="E73" s="18">
        <f t="shared" si="2"/>
        <v>1.1068803683697865</v>
      </c>
      <c r="F73" s="18">
        <f>D73*$H$7</f>
        <v>0.95</v>
      </c>
      <c r="G73" s="18">
        <f>D73+F73</f>
        <v>5.95</v>
      </c>
      <c r="H73" s="18">
        <f t="shared" si="5"/>
        <v>1.317187638360046</v>
      </c>
      <c r="I73" s="54"/>
    </row>
    <row r="74" spans="2:11" ht="15.75" thickBot="1">
      <c r="B74" s="16">
        <v>6.2</v>
      </c>
      <c r="C74" s="20" t="s">
        <v>89</v>
      </c>
      <c r="D74" s="18">
        <v>5</v>
      </c>
      <c r="E74" s="18">
        <f t="shared" si="2"/>
        <v>1.1068803683697865</v>
      </c>
      <c r="F74" s="18">
        <f>D74*$H$7</f>
        <v>0.95</v>
      </c>
      <c r="G74" s="18">
        <f>D74+F74</f>
        <v>5.95</v>
      </c>
      <c r="H74" s="18">
        <f t="shared" si="5"/>
        <v>1.317187638360046</v>
      </c>
      <c r="I74" s="54"/>
    </row>
    <row r="75" spans="2:11" s="7" customFormat="1" ht="15.75" thickBot="1">
      <c r="B75" s="59" t="s">
        <v>90</v>
      </c>
      <c r="C75" s="60"/>
      <c r="D75" s="19">
        <f>D73+D74</f>
        <v>10</v>
      </c>
      <c r="E75" s="19">
        <f t="shared" si="2"/>
        <v>2.2137607367395731</v>
      </c>
      <c r="F75" s="19">
        <f>F73+F74</f>
        <v>1.9</v>
      </c>
      <c r="G75" s="19">
        <f>D75+F75</f>
        <v>11.9</v>
      </c>
      <c r="H75" s="19">
        <f t="shared" si="5"/>
        <v>2.6343752767200921</v>
      </c>
      <c r="I75" s="55"/>
    </row>
    <row r="76" spans="2:11" ht="15.75" thickBot="1">
      <c r="B76" s="64" t="s">
        <v>91</v>
      </c>
      <c r="C76" s="65"/>
      <c r="D76" s="22">
        <f>D17+D20+D48+D58+D71+D75</f>
        <v>949.86207672317028</v>
      </c>
      <c r="E76" s="22">
        <f t="shared" si="2"/>
        <v>210.27673707676664</v>
      </c>
      <c r="F76" s="22">
        <f>F17+F20+F48+F58+F71+F75</f>
        <v>178.74594641406219</v>
      </c>
      <c r="G76" s="22">
        <f>D76+F76</f>
        <v>1128.6080231372325</v>
      </c>
      <c r="H76" s="22">
        <f t="shared" si="5"/>
        <v>249.84681287904732</v>
      </c>
      <c r="I76" s="57"/>
    </row>
    <row r="77" spans="2:11" ht="15.75" thickBot="1">
      <c r="B77" s="68" t="s">
        <v>92</v>
      </c>
      <c r="C77" s="69"/>
      <c r="D77" s="4">
        <f>D14+D15+D16+D19+D50+D53+D61</f>
        <v>501.41165244559994</v>
      </c>
      <c r="E77" s="4">
        <f t="shared" si="2"/>
        <v>111.00054291277782</v>
      </c>
      <c r="F77" s="4">
        <f>F14+F15+F16+F19+F50+F53+F61</f>
        <v>95.268213964663985</v>
      </c>
      <c r="G77" s="4">
        <f>D77+F77</f>
        <v>596.67986641026391</v>
      </c>
      <c r="H77" s="4">
        <f t="shared" si="5"/>
        <v>132.09064606620561</v>
      </c>
      <c r="I77" s="58"/>
    </row>
  </sheetData>
  <mergeCells count="24">
    <mergeCell ref="B2:D2"/>
    <mergeCell ref="B3:D3"/>
    <mergeCell ref="B4:H4"/>
    <mergeCell ref="B5:H5"/>
    <mergeCell ref="B6:H6"/>
    <mergeCell ref="G8:H8"/>
    <mergeCell ref="B77:C77"/>
    <mergeCell ref="B18:H18"/>
    <mergeCell ref="B20:C20"/>
    <mergeCell ref="B21:H21"/>
    <mergeCell ref="B48:C48"/>
    <mergeCell ref="B49:H49"/>
    <mergeCell ref="B58:C58"/>
    <mergeCell ref="B59:H59"/>
    <mergeCell ref="B71:C71"/>
    <mergeCell ref="B72:H72"/>
    <mergeCell ref="B75:C75"/>
    <mergeCell ref="B76:C76"/>
    <mergeCell ref="G9:H9"/>
    <mergeCell ref="B12:H12"/>
    <mergeCell ref="B17:C17"/>
    <mergeCell ref="B9:B10"/>
    <mergeCell ref="C9:C10"/>
    <mergeCell ref="D9:E9"/>
  </mergeCells>
  <phoneticPr fontId="0" type="noConversion"/>
  <pageMargins left="0.7" right="0.7" top="0.75" bottom="0.75" header="0.3" footer="0.3"/>
  <pageSetup paperSize="9" scale="5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DG - HG907- internat+sala- mii.</vt:lpstr>
      <vt:lpstr>DG - HG907- internat - mii.lei</vt:lpstr>
      <vt:lpstr>DG - HG907- Sala Fest- mii.</vt:lpstr>
      <vt:lpstr>'DG - HG907- internat - mii.lei'!Print_Area</vt:lpstr>
      <vt:lpstr>'DG - HG907- internat+sala- mii.'!Print_Area</vt:lpstr>
      <vt:lpstr>'DG - HG907- Sala Fest- mii.'!Print_Area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ionut.LAR</dc:creator>
  <cp:lastModifiedBy>gyorfi.laszlo</cp:lastModifiedBy>
  <cp:lastPrinted>2017-09-13T16:53:46Z</cp:lastPrinted>
  <dcterms:created xsi:type="dcterms:W3CDTF">2017-08-15T05:08:34Z</dcterms:created>
  <dcterms:modified xsi:type="dcterms:W3CDTF">2017-09-18T07:26:07Z</dcterms:modified>
</cp:coreProperties>
</file>